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Aseeb\"/>
    </mc:Choice>
  </mc:AlternateContent>
  <bookViews>
    <workbookView xWindow="0" yWindow="0" windowWidth="23040" windowHeight="9072" tabRatio="852"/>
  </bookViews>
  <sheets>
    <sheet name="Abutment Seat" sheetId="42" r:id="rId1"/>
    <sheet name="Sheet1" sheetId="39" r:id="rId2"/>
  </sheets>
  <externalReferences>
    <externalReference r:id="rId3"/>
    <externalReference r:id="rId4"/>
    <externalReference r:id="rId5"/>
    <externalReference r:id="rId6"/>
  </externalReferences>
  <definedNames>
    <definedName name="\a">#N/A</definedName>
    <definedName name="\d">#N/A</definedName>
    <definedName name="\r">#N/A</definedName>
    <definedName name="_xlnm.Database" localSheetId="0">[1]BOQ!#REF!</definedName>
    <definedName name="_xlnm.Database">[1]BOQ!#REF!</definedName>
    <definedName name="Dia">"aa"</definedName>
    <definedName name="dl" localSheetId="0">#REF!</definedName>
    <definedName name="dl">#REF!</definedName>
    <definedName name="Equipment">[2]Code!$A$27:$C$73</definedName>
    <definedName name="GH" localSheetId="0">#REF!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 localSheetId="0">#REF!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 localSheetId="0">#REF!</definedName>
    <definedName name="PPaid">#REF!</definedName>
    <definedName name="PRetention" localSheetId="0">#REF!</definedName>
    <definedName name="PRetention">#REF!</definedName>
    <definedName name="_xlnm.Print_Area" localSheetId="0">'Abutment Seat'!$A$1:$W$71</definedName>
    <definedName name="_xlnm.Print_Area">#REF!</definedName>
    <definedName name="PRINT_AREA_MI" localSheetId="0">#REF!</definedName>
    <definedName name="PRINT_AREA_MI">#REF!</definedName>
    <definedName name="_xlnm.Print_Titles" localSheetId="0">'Abutment Seat'!$1:$8</definedName>
    <definedName name="ss" localSheetId="0">[1]BOQ!#REF!</definedName>
    <definedName name="ss">[1]BOQ!#REF!</definedName>
    <definedName name="TPaid" localSheetId="0">#REF!</definedName>
    <definedName name="TPaid">#REF!</definedName>
    <definedName name="TRetention" localSheetId="0">#REF!</definedName>
    <definedName name="TRetention">#REF!</definedName>
    <definedName name="w" localSheetId="0">#REF!</definedName>
    <definedName name="w">#REF!</definedName>
    <definedName name="ww" localSheetId="0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7" i="42" l="1"/>
  <c r="U15" i="42"/>
  <c r="U13" i="42"/>
  <c r="U11" i="42"/>
  <c r="U9" i="42"/>
  <c r="T15" i="42"/>
  <c r="T13" i="42"/>
  <c r="T11" i="42"/>
  <c r="T9" i="42"/>
  <c r="T17" i="42"/>
  <c r="S17" i="42"/>
  <c r="F17" i="42"/>
  <c r="O9" i="42"/>
  <c r="L9" i="42"/>
  <c r="G15" i="42"/>
  <c r="L15" i="42" s="1"/>
  <c r="O15" i="42" s="1"/>
  <c r="G9" i="42"/>
  <c r="V9" i="42" s="1"/>
  <c r="G11" i="42"/>
  <c r="V11" i="42" s="1"/>
  <c r="G13" i="42"/>
  <c r="L13" i="42" s="1"/>
  <c r="O13" i="42" s="1"/>
  <c r="N16" i="42"/>
  <c r="Q15" i="42"/>
  <c r="N15" i="42"/>
  <c r="N14" i="42"/>
  <c r="Q13" i="42"/>
  <c r="N13" i="42"/>
  <c r="N12" i="42"/>
  <c r="Q11" i="42"/>
  <c r="N11" i="42"/>
  <c r="G17" i="42"/>
  <c r="V17" i="42" s="1"/>
  <c r="V22" i="42"/>
  <c r="Q21" i="42"/>
  <c r="L21" i="42"/>
  <c r="F21" i="42"/>
  <c r="F29" i="42"/>
  <c r="G26" i="42"/>
  <c r="F26" i="42"/>
  <c r="F41" i="42"/>
  <c r="G41" i="42"/>
  <c r="G37" i="42"/>
  <c r="G33" i="42"/>
  <c r="Q29" i="42"/>
  <c r="W32" i="42"/>
  <c r="W29" i="42"/>
  <c r="V30" i="42"/>
  <c r="R13" i="42" l="1"/>
  <c r="S13" i="42" s="1"/>
  <c r="R15" i="42"/>
  <c r="S15" i="42" s="1"/>
  <c r="V13" i="42"/>
  <c r="V15" i="42"/>
  <c r="L11" i="42"/>
  <c r="O11" i="42" s="1"/>
  <c r="R11" i="42" s="1"/>
  <c r="S11" i="42" s="1"/>
  <c r="V62" i="42"/>
  <c r="L59" i="42"/>
  <c r="O59" i="42" s="1"/>
  <c r="R59" i="42" s="1"/>
  <c r="S59" i="42" s="1"/>
  <c r="U59" i="42" s="1"/>
  <c r="W58" i="42"/>
  <c r="V58" i="42"/>
  <c r="W56" i="42"/>
  <c r="V56" i="42"/>
  <c r="Q54" i="42"/>
  <c r="P54" i="42"/>
  <c r="J54" i="42"/>
  <c r="L54" i="42" s="1"/>
  <c r="O54" i="42" s="1"/>
  <c r="V50" i="42"/>
  <c r="Q50" i="42"/>
  <c r="K50" i="42"/>
  <c r="L50" i="42" s="1"/>
  <c r="O50" i="42" s="1"/>
  <c r="R50" i="42" s="1"/>
  <c r="S50" i="42" s="1"/>
  <c r="U50" i="42" s="1"/>
  <c r="V49" i="42"/>
  <c r="V45" i="42"/>
  <c r="Q45" i="42"/>
  <c r="P45" i="42"/>
  <c r="K45" i="42"/>
  <c r="I45" i="42"/>
  <c r="W47" i="42" s="1"/>
  <c r="H45" i="42"/>
  <c r="V47" i="42" s="1"/>
  <c r="F45" i="42"/>
  <c r="V25" i="42"/>
  <c r="V21" i="42"/>
  <c r="P21" i="42"/>
  <c r="W23" i="42"/>
  <c r="V23" i="42"/>
  <c r="Q17" i="42"/>
  <c r="N10" i="42"/>
  <c r="Q9" i="42"/>
  <c r="N9" i="42"/>
  <c r="L41" i="42"/>
  <c r="O41" i="42" s="1"/>
  <c r="V40" i="42"/>
  <c r="V36" i="42"/>
  <c r="L29" i="42"/>
  <c r="O29" i="42" s="1"/>
  <c r="V28" i="42"/>
  <c r="L26" i="42"/>
  <c r="O26" i="42" s="1"/>
  <c r="R26" i="42" s="1"/>
  <c r="R54" i="42" l="1"/>
  <c r="S54" i="42" s="1"/>
  <c r="U54" i="42" s="1"/>
  <c r="R41" i="42"/>
  <c r="S41" i="42" s="1"/>
  <c r="U41" i="42" s="1"/>
  <c r="R29" i="42"/>
  <c r="S26" i="42"/>
  <c r="U26" i="42" s="1"/>
  <c r="L37" i="42"/>
  <c r="O37" i="42" s="1"/>
  <c r="R37" i="42" s="1"/>
  <c r="V44" i="42"/>
  <c r="L45" i="42"/>
  <c r="O45" i="42" s="1"/>
  <c r="R45" i="42" s="1"/>
  <c r="S45" i="42" s="1"/>
  <c r="U45" i="42" s="1"/>
  <c r="R9" i="42"/>
  <c r="V54" i="42"/>
  <c r="O21" i="42"/>
  <c r="R21" i="42" s="1"/>
  <c r="S21" i="42" s="1"/>
  <c r="U21" i="42" s="1"/>
  <c r="L33" i="42"/>
  <c r="O33" i="42" s="1"/>
  <c r="R33" i="42" s="1"/>
  <c r="S9" i="42" l="1"/>
  <c r="S29" i="42"/>
  <c r="U29" i="42" s="1"/>
  <c r="S37" i="42"/>
  <c r="U37" i="42" s="1"/>
  <c r="S33" i="42"/>
  <c r="U33" i="42" s="1"/>
  <c r="L17" i="42"/>
  <c r="O17" i="42" s="1"/>
  <c r="R17" i="42" s="1"/>
  <c r="U63" i="42" l="1"/>
  <c r="U64" i="42" s="1"/>
</calcChain>
</file>

<file path=xl/sharedStrings.xml><?xml version="1.0" encoding="utf-8"?>
<sst xmlns="http://schemas.openxmlformats.org/spreadsheetml/2006/main" count="60" uniqueCount="50">
  <si>
    <t>Sr. No.</t>
  </si>
  <si>
    <t>Description</t>
  </si>
  <si>
    <t>Dia
(#)</t>
  </si>
  <si>
    <t>No. Of
Bars</t>
  </si>
  <si>
    <t>Total
 Weight
(Kg)</t>
  </si>
  <si>
    <t>A</t>
  </si>
  <si>
    <t>B</t>
  </si>
  <si>
    <t>C</t>
  </si>
  <si>
    <t>Total</t>
  </si>
  <si>
    <t>D</t>
  </si>
  <si>
    <t>Spacing
(inches)</t>
  </si>
  <si>
    <t>Length of Bars (ft)</t>
  </si>
  <si>
    <t>Cut 
Length
(ft)</t>
  </si>
  <si>
    <t>Bend Deduction
(ft)</t>
  </si>
  <si>
    <t>Total 
Length
(ft)</t>
  </si>
  <si>
    <t xml:space="preserve"> Cut Length After Bend D/D
(ft)</t>
  </si>
  <si>
    <t>-</t>
  </si>
  <si>
    <t>ft</t>
  </si>
  <si>
    <t>inches</t>
  </si>
  <si>
    <t>No. of Bends</t>
  </si>
  <si>
    <t>Lap
Length (ft)</t>
  </si>
  <si>
    <t>No. of Laps</t>
  </si>
  <si>
    <t>Bar Shape and Lengths (ft)</t>
  </si>
  <si>
    <t xml:space="preserve">Stirrup - 1 
(6 Legged Stirrups)
</t>
  </si>
  <si>
    <t xml:space="preserve">  Total Weight in Tons </t>
  </si>
  <si>
    <t xml:space="preserve">  Total Weight in Kgs </t>
  </si>
  <si>
    <t>kgs</t>
  </si>
  <si>
    <t>Tons</t>
  </si>
  <si>
    <t>No. Of
Members</t>
  </si>
  <si>
    <t>E</t>
  </si>
  <si>
    <t>Avg</t>
  </si>
  <si>
    <t xml:space="preserve">Stirrups - 2 &amp; 3
(6 Legged Stirrups)
</t>
  </si>
  <si>
    <t xml:space="preserve">Lifting Hook
</t>
  </si>
  <si>
    <t xml:space="preserve">Tie Bars
</t>
  </si>
  <si>
    <t>Barbending Schedule:Abutment Seat</t>
  </si>
  <si>
    <t>Length of Abutment Seat =</t>
  </si>
  <si>
    <t xml:space="preserve">Abutment Wall
 (Horizontal Bars EF)
</t>
  </si>
  <si>
    <t xml:space="preserve">Abutment Wall
 (Vertical Bars EF)
</t>
  </si>
  <si>
    <t xml:space="preserve">Abutment Seat
 (Main Bars at 
Top &amp; Bottom 
2nd Layer)
</t>
  </si>
  <si>
    <t xml:space="preserve">Abutment Seat
 (Main Bars at 
Top &amp; Bottom
1st Layer)
</t>
  </si>
  <si>
    <t xml:space="preserve">Abutment Seat
Side Bars 
(Each Face)
</t>
  </si>
  <si>
    <t>Concrete Cover (Abutment Seat) =</t>
  </si>
  <si>
    <t>Concrete Cover (Walls Earth Face) =</t>
  </si>
  <si>
    <t>Concrete Cover (Walls Other Face) =</t>
  </si>
  <si>
    <t>Unit 
Weight
(kg/ft)</t>
  </si>
  <si>
    <t>Main Bars at Top 
1st Layer</t>
  </si>
  <si>
    <t>Main Bars at Top 
2nd Layer</t>
  </si>
  <si>
    <t xml:space="preserve">Main Bars at Bottom
1st  Layer </t>
  </si>
  <si>
    <t>Main Bars at Bottom
2nd Layer</t>
  </si>
  <si>
    <t xml:space="preserve">Main Bars Each Face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</si>
</sst>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00"/>
    <numFmt numFmtId="165" formatCode="0.000"/>
    <numFmt numFmtId="166" formatCode="&quot;#&quot;#"/>
    <numFmt numFmtId="167" formatCode="_(* #,##0.000_);_(* \(#,##0.000\);_(* &quot;-&quot;??_);_(@_)"/>
    <numFmt numFmtId="168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u/>
      <sz val="12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b/>
      <u/>
      <sz val="14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sz val="13"/>
      <color rgb="FFFF0000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u/>
      <sz val="13"/>
      <name val="Times New Roman"/>
      <family val="1"/>
    </font>
    <font>
      <sz val="13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03">
    <xf numFmtId="0" fontId="0" fillId="0" borderId="0" xfId="0"/>
    <xf numFmtId="0" fontId="4" fillId="0" borderId="0" xfId="2" applyFont="1" applyAlignment="1">
      <alignment vertical="center"/>
    </xf>
    <xf numFmtId="43" fontId="4" fillId="0" borderId="0" xfId="1" applyFont="1" applyFill="1" applyBorder="1" applyAlignment="1">
      <alignment vertical="center"/>
    </xf>
    <xf numFmtId="0" fontId="5" fillId="0" borderId="0" xfId="0" applyFont="1"/>
    <xf numFmtId="43" fontId="6" fillId="0" borderId="0" xfId="1" applyFont="1" applyFill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7" fillId="0" borderId="0" xfId="0" applyFont="1"/>
    <xf numFmtId="0" fontId="8" fillId="0" borderId="0" xfId="2" applyFont="1" applyAlignment="1">
      <alignment vertical="center"/>
    </xf>
    <xf numFmtId="0" fontId="9" fillId="0" borderId="0" xfId="0" applyFont="1"/>
    <xf numFmtId="0" fontId="8" fillId="0" borderId="0" xfId="1" applyNumberFormat="1" applyFont="1" applyFill="1" applyBorder="1" applyAlignment="1">
      <alignment vertical="center"/>
    </xf>
    <xf numFmtId="43" fontId="10" fillId="0" borderId="0" xfId="1" applyFont="1" applyFill="1" applyBorder="1" applyAlignment="1">
      <alignment vertical="center"/>
    </xf>
    <xf numFmtId="0" fontId="8" fillId="0" borderId="0" xfId="2" applyFont="1" applyAlignment="1">
      <alignment horizontal="left" vertical="center"/>
    </xf>
    <xf numFmtId="43" fontId="8" fillId="0" borderId="0" xfId="1" applyFont="1" applyFill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1" fillId="0" borderId="0" xfId="0" applyFont="1"/>
    <xf numFmtId="0" fontId="8" fillId="0" borderId="0" xfId="2" applyFont="1" applyAlignment="1">
      <alignment horizontal="right" vertical="center"/>
    </xf>
    <xf numFmtId="0" fontId="8" fillId="0" borderId="0" xfId="2" applyFont="1" applyAlignment="1">
      <alignment horizontal="center" vertical="center"/>
    </xf>
    <xf numFmtId="0" fontId="12" fillId="0" borderId="0" xfId="0" applyFont="1"/>
    <xf numFmtId="0" fontId="13" fillId="0" borderId="0" xfId="0" applyFont="1"/>
    <xf numFmtId="43" fontId="9" fillId="0" borderId="0" xfId="1" applyFont="1"/>
    <xf numFmtId="43" fontId="13" fillId="0" borderId="0" xfId="1" applyFont="1"/>
    <xf numFmtId="0" fontId="14" fillId="0" borderId="0" xfId="1" applyNumberFormat="1" applyFont="1" applyAlignment="1">
      <alignment horizontal="center"/>
    </xf>
    <xf numFmtId="168" fontId="13" fillId="0" borderId="0" xfId="1" applyNumberFormat="1" applyFont="1"/>
    <xf numFmtId="0" fontId="16" fillId="0" borderId="5" xfId="2" applyFont="1" applyBorder="1" applyAlignment="1">
      <alignment horizontal="center" vertical="center"/>
    </xf>
    <xf numFmtId="0" fontId="16" fillId="0" borderId="5" xfId="2" applyFont="1" applyBorder="1" applyAlignment="1">
      <alignment vertical="center"/>
    </xf>
    <xf numFmtId="168" fontId="16" fillId="0" borderId="3" xfId="1" applyNumberFormat="1" applyFont="1" applyFill="1" applyBorder="1" applyAlignment="1">
      <alignment vertical="center"/>
    </xf>
    <xf numFmtId="165" fontId="16" fillId="0" borderId="5" xfId="2" applyNumberFormat="1" applyFont="1" applyBorder="1" applyAlignment="1">
      <alignment vertical="center"/>
    </xf>
    <xf numFmtId="165" fontId="16" fillId="0" borderId="6" xfId="2" applyNumberFormat="1" applyFont="1" applyBorder="1" applyAlignment="1">
      <alignment vertical="center"/>
    </xf>
    <xf numFmtId="0" fontId="16" fillId="0" borderId="6" xfId="2" applyFont="1" applyBorder="1" applyAlignment="1">
      <alignment vertical="center"/>
    </xf>
    <xf numFmtId="167" fontId="16" fillId="0" borderId="3" xfId="1" applyNumberFormat="1" applyFont="1" applyFill="1" applyBorder="1" applyAlignment="1">
      <alignment vertical="center"/>
    </xf>
    <xf numFmtId="0" fontId="16" fillId="0" borderId="0" xfId="2" applyFont="1" applyAlignment="1">
      <alignment horizontal="right" vertical="center"/>
    </xf>
    <xf numFmtId="43" fontId="16" fillId="0" borderId="0" xfId="1" applyFont="1" applyFill="1" applyBorder="1" applyAlignment="1">
      <alignment horizontal="right" vertical="center"/>
    </xf>
    <xf numFmtId="164" fontId="15" fillId="0" borderId="0" xfId="4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center"/>
    </xf>
    <xf numFmtId="43" fontId="15" fillId="0" borderId="0" xfId="1" applyFont="1" applyFill="1"/>
    <xf numFmtId="2" fontId="18" fillId="0" borderId="0" xfId="0" applyNumberFormat="1" applyFont="1" applyAlignment="1">
      <alignment horizontal="center" wrapText="1"/>
    </xf>
    <xf numFmtId="165" fontId="18" fillId="0" borderId="0" xfId="0" applyNumberFormat="1" applyFont="1" applyAlignment="1">
      <alignment horizontal="center" wrapText="1"/>
    </xf>
    <xf numFmtId="0" fontId="19" fillId="0" borderId="0" xfId="0" applyFont="1"/>
    <xf numFmtId="165" fontId="16" fillId="0" borderId="0" xfId="1" applyNumberFormat="1" applyFont="1" applyFill="1" applyBorder="1" applyAlignment="1">
      <alignment horizontal="right" vertical="center"/>
    </xf>
    <xf numFmtId="0" fontId="18" fillId="0" borderId="0" xfId="0" applyFont="1"/>
    <xf numFmtId="0" fontId="15" fillId="0" borderId="0" xfId="2" applyFont="1"/>
    <xf numFmtId="0" fontId="20" fillId="0" borderId="0" xfId="2" applyFont="1"/>
    <xf numFmtId="43" fontId="15" fillId="0" borderId="0" xfId="1" applyFont="1" applyFill="1" applyAlignment="1">
      <alignment horizontal="left"/>
    </xf>
    <xf numFmtId="43" fontId="19" fillId="0" borderId="0" xfId="1" applyFont="1"/>
    <xf numFmtId="43" fontId="20" fillId="0" borderId="0" xfId="1" applyFont="1" applyFill="1"/>
    <xf numFmtId="43" fontId="20" fillId="0" borderId="0" xfId="1" applyFont="1" applyFill="1" applyAlignment="1">
      <alignment horizontal="left"/>
    </xf>
    <xf numFmtId="0" fontId="21" fillId="0" borderId="0" xfId="1" applyNumberFormat="1" applyFont="1" applyAlignment="1">
      <alignment horizontal="center"/>
    </xf>
    <xf numFmtId="0" fontId="15" fillId="0" borderId="0" xfId="2" applyFont="1" applyAlignment="1">
      <alignment horizontal="left"/>
    </xf>
    <xf numFmtId="43" fontId="15" fillId="0" borderId="0" xfId="1" applyFont="1" applyFill="1" applyAlignment="1"/>
    <xf numFmtId="165" fontId="15" fillId="0" borderId="3" xfId="3" applyNumberFormat="1" applyFont="1" applyFill="1" applyBorder="1" applyAlignment="1">
      <alignment horizontal="center" vertical="center" wrapText="1"/>
    </xf>
    <xf numFmtId="0" fontId="15" fillId="0" borderId="3" xfId="3" applyNumberFormat="1" applyFont="1" applyFill="1" applyBorder="1" applyAlignment="1">
      <alignment horizontal="left" vertical="center" wrapText="1"/>
    </xf>
    <xf numFmtId="0" fontId="15" fillId="0" borderId="3" xfId="3" applyNumberFormat="1" applyFont="1" applyFill="1" applyBorder="1" applyAlignment="1">
      <alignment horizontal="right" vertical="center" wrapText="1"/>
    </xf>
    <xf numFmtId="43" fontId="4" fillId="2" borderId="7" xfId="1" applyFont="1" applyFill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 wrapText="1"/>
    </xf>
    <xf numFmtId="165" fontId="15" fillId="0" borderId="3" xfId="2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3" fontId="4" fillId="2" borderId="8" xfId="3" applyFont="1" applyFill="1" applyBorder="1" applyAlignment="1">
      <alignment horizontal="center" vertical="center" wrapText="1"/>
    </xf>
    <xf numFmtId="43" fontId="4" fillId="2" borderId="9" xfId="3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 wrapText="1"/>
    </xf>
    <xf numFmtId="43" fontId="4" fillId="2" borderId="7" xfId="3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/>
    </xf>
    <xf numFmtId="43" fontId="4" fillId="2" borderId="1" xfId="1" applyFont="1" applyFill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center" vertical="center" wrapText="1"/>
    </xf>
    <xf numFmtId="43" fontId="4" fillId="2" borderId="11" xfId="1" applyFont="1" applyFill="1" applyBorder="1" applyAlignment="1">
      <alignment horizontal="center" vertical="center" wrapText="1"/>
    </xf>
    <xf numFmtId="43" fontId="4" fillId="2" borderId="13" xfId="1" applyFont="1" applyFill="1" applyBorder="1" applyAlignment="1">
      <alignment horizontal="center" vertical="center" wrapText="1"/>
    </xf>
    <xf numFmtId="43" fontId="4" fillId="2" borderId="12" xfId="1" applyFont="1" applyFill="1" applyBorder="1" applyAlignment="1">
      <alignment horizontal="center" vertical="center" wrapText="1"/>
    </xf>
    <xf numFmtId="43" fontId="4" fillId="2" borderId="14" xfId="1" applyFont="1" applyFill="1" applyBorder="1" applyAlignment="1">
      <alignment horizontal="center" vertical="center" wrapText="1"/>
    </xf>
    <xf numFmtId="43" fontId="4" fillId="2" borderId="2" xfId="1" applyFont="1" applyFill="1" applyBorder="1" applyAlignment="1">
      <alignment horizontal="center" vertical="center" wrapText="1"/>
    </xf>
    <xf numFmtId="43" fontId="4" fillId="2" borderId="10" xfId="1" applyFont="1" applyFill="1" applyBorder="1" applyAlignment="1">
      <alignment horizontal="center" vertical="center" wrapText="1"/>
    </xf>
    <xf numFmtId="43" fontId="15" fillId="0" borderId="3" xfId="1" applyFont="1" applyFill="1" applyBorder="1" applyAlignment="1">
      <alignment vertical="center" wrapText="1"/>
    </xf>
    <xf numFmtId="1" fontId="15" fillId="0" borderId="3" xfId="3" applyNumberFormat="1" applyFont="1" applyFill="1" applyBorder="1" applyAlignment="1">
      <alignment horizontal="center" vertical="center"/>
    </xf>
    <xf numFmtId="166" fontId="15" fillId="0" borderId="3" xfId="2" applyNumberFormat="1" applyFont="1" applyBorder="1" applyAlignment="1">
      <alignment horizontal="center" vertical="center"/>
    </xf>
    <xf numFmtId="164" fontId="15" fillId="0" borderId="3" xfId="3" applyNumberFormat="1" applyFont="1" applyFill="1" applyBorder="1" applyAlignment="1">
      <alignment horizontal="center" vertical="center" wrapText="1"/>
    </xf>
    <xf numFmtId="165" fontId="15" fillId="0" borderId="3" xfId="3" applyNumberFormat="1" applyFont="1" applyFill="1" applyBorder="1" applyAlignment="1">
      <alignment horizontal="center" vertical="center" wrapText="1"/>
    </xf>
    <xf numFmtId="0" fontId="15" fillId="0" borderId="3" xfId="3" applyNumberFormat="1" applyFont="1" applyFill="1" applyBorder="1" applyAlignment="1">
      <alignment horizontal="center" vertical="center" wrapText="1"/>
    </xf>
    <xf numFmtId="0" fontId="15" fillId="0" borderId="3" xfId="3" applyNumberFormat="1" applyFont="1" applyFill="1" applyBorder="1" applyAlignment="1">
      <alignment horizontal="left" vertical="center" wrapText="1"/>
    </xf>
    <xf numFmtId="0" fontId="15" fillId="0" borderId="3" xfId="3" applyNumberFormat="1" applyFont="1" applyFill="1" applyBorder="1" applyAlignment="1">
      <alignment horizontal="right" vertical="center" wrapText="1"/>
    </xf>
    <xf numFmtId="0" fontId="16" fillId="0" borderId="4" xfId="2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1" fontId="15" fillId="0" borderId="1" xfId="3" applyNumberFormat="1" applyFont="1" applyFill="1" applyBorder="1" applyAlignment="1">
      <alignment horizontal="center" vertical="center"/>
    </xf>
    <xf numFmtId="164" fontId="15" fillId="0" borderId="1" xfId="3" applyNumberFormat="1" applyFont="1" applyFill="1" applyBorder="1" applyAlignment="1">
      <alignment horizontal="center" vertical="center" wrapText="1"/>
    </xf>
    <xf numFmtId="166" fontId="15" fillId="0" borderId="1" xfId="2" applyNumberFormat="1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165" fontId="15" fillId="0" borderId="1" xfId="2" applyNumberFormat="1" applyFont="1" applyBorder="1" applyAlignment="1">
      <alignment horizontal="center" vertical="center" wrapText="1"/>
    </xf>
    <xf numFmtId="43" fontId="15" fillId="0" borderId="1" xfId="1" applyFont="1" applyFill="1" applyBorder="1" applyAlignment="1">
      <alignment vertical="center" wrapText="1"/>
    </xf>
    <xf numFmtId="165" fontId="15" fillId="0" borderId="1" xfId="3" applyNumberFormat="1" applyFont="1" applyFill="1" applyBorder="1" applyAlignment="1">
      <alignment horizontal="center" wrapText="1"/>
    </xf>
    <xf numFmtId="0" fontId="15" fillId="0" borderId="1" xfId="3" applyNumberFormat="1" applyFont="1" applyFill="1" applyBorder="1" applyAlignment="1">
      <alignment horizontal="center" wrapText="1"/>
    </xf>
    <xf numFmtId="165" fontId="15" fillId="0" borderId="3" xfId="3" applyNumberFormat="1" applyFont="1" applyFill="1" applyBorder="1" applyAlignment="1">
      <alignment horizontal="center" wrapText="1"/>
    </xf>
    <xf numFmtId="0" fontId="15" fillId="0" borderId="3" xfId="3" applyNumberFormat="1" applyFont="1" applyFill="1" applyBorder="1" applyAlignment="1">
      <alignment horizontal="center" wrapText="1"/>
    </xf>
    <xf numFmtId="43" fontId="15" fillId="0" borderId="3" xfId="1" applyFont="1" applyFill="1" applyBorder="1" applyAlignment="1">
      <alignment horizontal="center" vertical="center" wrapText="1"/>
    </xf>
    <xf numFmtId="165" fontId="15" fillId="0" borderId="3" xfId="1" applyNumberFormat="1" applyFont="1" applyFill="1" applyBorder="1" applyAlignment="1">
      <alignment horizontal="center" vertical="center" wrapText="1"/>
    </xf>
    <xf numFmtId="165" fontId="15" fillId="0" borderId="3" xfId="3" applyNumberFormat="1" applyFont="1" applyFill="1" applyBorder="1" applyAlignment="1">
      <alignment horizontal="left" wrapText="1"/>
    </xf>
    <xf numFmtId="165" fontId="15" fillId="0" borderId="3" xfId="3" applyNumberFormat="1" applyFont="1" applyFill="1" applyBorder="1" applyAlignment="1">
      <alignment horizontal="right" wrapText="1"/>
    </xf>
    <xf numFmtId="0" fontId="15" fillId="0" borderId="3" xfId="3" applyNumberFormat="1" applyFont="1" applyFill="1" applyBorder="1" applyAlignment="1">
      <alignment vertical="center" wrapText="1"/>
    </xf>
    <xf numFmtId="164" fontId="15" fillId="3" borderId="3" xfId="3" applyNumberFormat="1" applyFont="1" applyFill="1" applyBorder="1" applyAlignment="1">
      <alignment horizontal="center" wrapText="1"/>
    </xf>
    <xf numFmtId="0" fontId="15" fillId="0" borderId="3" xfId="3" applyNumberFormat="1" applyFont="1" applyFill="1" applyBorder="1" applyAlignment="1">
      <alignment horizontal="left" wrapText="1"/>
    </xf>
    <xf numFmtId="0" fontId="15" fillId="0" borderId="3" xfId="3" applyNumberFormat="1" applyFont="1" applyFill="1" applyBorder="1" applyAlignment="1">
      <alignment wrapText="1"/>
    </xf>
    <xf numFmtId="164" fontId="15" fillId="3" borderId="3" xfId="3" applyNumberFormat="1" applyFont="1" applyFill="1" applyBorder="1" applyAlignment="1">
      <alignment horizontal="center" vertical="center" wrapText="1"/>
    </xf>
    <xf numFmtId="0" fontId="15" fillId="0" borderId="3" xfId="3" applyNumberFormat="1" applyFont="1" applyFill="1" applyBorder="1" applyAlignment="1">
      <alignment horizontal="center" wrapText="1"/>
    </xf>
    <xf numFmtId="165" fontId="15" fillId="0" borderId="3" xfId="3" applyNumberFormat="1" applyFont="1" applyFill="1" applyBorder="1" applyAlignment="1">
      <alignment vertical="center" wrapText="1"/>
    </xf>
    <xf numFmtId="0" fontId="15" fillId="3" borderId="3" xfId="2" applyFont="1" applyFill="1" applyBorder="1" applyAlignment="1">
      <alignment horizontal="center" vertical="center" wrapText="1"/>
    </xf>
    <xf numFmtId="0" fontId="15" fillId="0" borderId="3" xfId="3" applyNumberFormat="1" applyFont="1" applyFill="1" applyBorder="1" applyAlignment="1">
      <alignment horizontal="right" wrapText="1"/>
    </xf>
  </cellXfs>
  <cellStyles count="5">
    <cellStyle name="Comma" xfId="1" builtinId="3"/>
    <cellStyle name="Comma 2 2" xfId="3"/>
    <cellStyle name="Comma 3" xfId="4"/>
    <cellStyle name="Normal" xfId="0" builtinId="0"/>
    <cellStyle name="Normal 2" xfId="2"/>
  </cellStyles>
  <dxfs count="12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colors>
    <mruColors>
      <color rgb="FFCC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253925</xdr:colOff>
      <xdr:row>26</xdr:row>
      <xdr:rowOff>157844</xdr:rowOff>
    </xdr:from>
    <xdr:to>
      <xdr:col>22</xdr:col>
      <xdr:colOff>699620</xdr:colOff>
      <xdr:row>27</xdr:row>
      <xdr:rowOff>185058</xdr:rowOff>
    </xdr:to>
    <xdr:sp macro="" textlink="">
      <xdr:nvSpPr>
        <xdr:cNvPr id="2" name="Freeform 85">
          <a:extLst>
            <a:ext uri="{FF2B5EF4-FFF2-40B4-BE49-F238E27FC236}">
              <a16:creationId xmlns:a16="http://schemas.microsoft.com/office/drawing/2014/main" id="{681D795B-4A07-441F-B57D-B3E34149B266}"/>
            </a:ext>
          </a:extLst>
        </xdr:cNvPr>
        <xdr:cNvSpPr/>
      </xdr:nvSpPr>
      <xdr:spPr>
        <a:xfrm>
          <a:off x="19273445" y="2321924"/>
          <a:ext cx="1443915" cy="30153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42</xdr:row>
      <xdr:rowOff>244929</xdr:rowOff>
    </xdr:from>
    <xdr:to>
      <xdr:col>22</xdr:col>
      <xdr:colOff>721391</xdr:colOff>
      <xdr:row>44</xdr:row>
      <xdr:rowOff>0</xdr:rowOff>
    </xdr:to>
    <xdr:sp macro="" textlink="">
      <xdr:nvSpPr>
        <xdr:cNvPr id="8" name="Freeform 85">
          <a:extLst>
            <a:ext uri="{FF2B5EF4-FFF2-40B4-BE49-F238E27FC236}">
              <a16:creationId xmlns:a16="http://schemas.microsoft.com/office/drawing/2014/main" id="{719B49F2-2861-4C0D-8F8B-D6D607BDD949}"/>
            </a:ext>
          </a:extLst>
        </xdr:cNvPr>
        <xdr:cNvSpPr/>
      </xdr:nvSpPr>
      <xdr:spPr>
        <a:xfrm>
          <a:off x="19295216" y="789540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42</xdr:row>
      <xdr:rowOff>244929</xdr:rowOff>
    </xdr:from>
    <xdr:to>
      <xdr:col>22</xdr:col>
      <xdr:colOff>721391</xdr:colOff>
      <xdr:row>44</xdr:row>
      <xdr:rowOff>0</xdr:rowOff>
    </xdr:to>
    <xdr:sp macro="" textlink="">
      <xdr:nvSpPr>
        <xdr:cNvPr id="10" name="Freeform 85">
          <a:extLst>
            <a:ext uri="{FF2B5EF4-FFF2-40B4-BE49-F238E27FC236}">
              <a16:creationId xmlns:a16="http://schemas.microsoft.com/office/drawing/2014/main" id="{1AFB21FF-E346-42D7-88F9-DD67BC31D3C8}"/>
            </a:ext>
          </a:extLst>
        </xdr:cNvPr>
        <xdr:cNvSpPr/>
      </xdr:nvSpPr>
      <xdr:spPr>
        <a:xfrm>
          <a:off x="19295216" y="789540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42</xdr:row>
      <xdr:rowOff>244929</xdr:rowOff>
    </xdr:from>
    <xdr:to>
      <xdr:col>22</xdr:col>
      <xdr:colOff>721391</xdr:colOff>
      <xdr:row>44</xdr:row>
      <xdr:rowOff>0</xdr:rowOff>
    </xdr:to>
    <xdr:sp macro="" textlink="">
      <xdr:nvSpPr>
        <xdr:cNvPr id="11" name="Freeform 85">
          <a:extLst>
            <a:ext uri="{FF2B5EF4-FFF2-40B4-BE49-F238E27FC236}">
              <a16:creationId xmlns:a16="http://schemas.microsoft.com/office/drawing/2014/main" id="{A527170E-9888-4425-872C-A5075EA31369}"/>
            </a:ext>
          </a:extLst>
        </xdr:cNvPr>
        <xdr:cNvSpPr/>
      </xdr:nvSpPr>
      <xdr:spPr>
        <a:xfrm>
          <a:off x="19295216" y="789540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277826</xdr:colOff>
      <xdr:row>9</xdr:row>
      <xdr:rowOff>93763</xdr:rowOff>
    </xdr:from>
    <xdr:to>
      <xdr:col>22</xdr:col>
      <xdr:colOff>723521</xdr:colOff>
      <xdr:row>10</xdr:row>
      <xdr:rowOff>48126</xdr:rowOff>
    </xdr:to>
    <xdr:sp macro="" textlink="">
      <xdr:nvSpPr>
        <xdr:cNvPr id="13" name="Freeform 85">
          <a:extLst>
            <a:ext uri="{FF2B5EF4-FFF2-40B4-BE49-F238E27FC236}">
              <a16:creationId xmlns:a16="http://schemas.microsoft.com/office/drawing/2014/main" id="{B8E0B77E-6FCF-464C-95AE-1CFCEB5A31AF}"/>
            </a:ext>
          </a:extLst>
        </xdr:cNvPr>
        <xdr:cNvSpPr/>
      </xdr:nvSpPr>
      <xdr:spPr>
        <a:xfrm>
          <a:off x="19400015" y="2435910"/>
          <a:ext cx="1440306" cy="227079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462815</xdr:colOff>
      <xdr:row>21</xdr:row>
      <xdr:rowOff>0</xdr:rowOff>
    </xdr:from>
    <xdr:to>
      <xdr:col>22</xdr:col>
      <xdr:colOff>556846</xdr:colOff>
      <xdr:row>24</xdr:row>
      <xdr:rowOff>32657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D12644C6-FABF-4BE6-8F0F-B876BD00C50D}"/>
            </a:ext>
          </a:extLst>
        </xdr:cNvPr>
        <xdr:cNvGrpSpPr/>
      </xdr:nvGrpSpPr>
      <xdr:grpSpPr>
        <a:xfrm>
          <a:off x="19585004" y="5566611"/>
          <a:ext cx="1088642" cy="850804"/>
          <a:chOff x="6644308" y="9327046"/>
          <a:chExt cx="1596473" cy="90943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1A2BAAAF-FE35-45A3-A680-081CEA3A08A3}"/>
              </a:ext>
            </a:extLst>
          </xdr:cNvPr>
          <xdr:cNvSpPr/>
        </xdr:nvSpPr>
        <xdr:spPr>
          <a:xfrm>
            <a:off x="6658801" y="9327046"/>
            <a:ext cx="1581980" cy="90943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342CDA4D-0B45-46DA-A0CB-5F409A829DD0}"/>
              </a:ext>
            </a:extLst>
          </xdr:cNvPr>
          <xdr:cNvCxnSpPr/>
        </xdr:nvCxnSpPr>
        <xdr:spPr>
          <a:xfrm>
            <a:off x="6743700" y="9332844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5E9C1650-9657-499F-83CF-95D18D2003FC}"/>
              </a:ext>
            </a:extLst>
          </xdr:cNvPr>
          <xdr:cNvCxnSpPr/>
        </xdr:nvCxnSpPr>
        <xdr:spPr>
          <a:xfrm>
            <a:off x="6644308" y="9438861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439369</xdr:colOff>
      <xdr:row>45</xdr:row>
      <xdr:rowOff>0</xdr:rowOff>
    </xdr:from>
    <xdr:to>
      <xdr:col>22</xdr:col>
      <xdr:colOff>533400</xdr:colOff>
      <xdr:row>48</xdr:row>
      <xdr:rowOff>32657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0F112B7D-3E88-4746-8CC3-6E36369A76D0}"/>
            </a:ext>
          </a:extLst>
        </xdr:cNvPr>
        <xdr:cNvGrpSpPr/>
      </xdr:nvGrpSpPr>
      <xdr:grpSpPr>
        <a:xfrm>
          <a:off x="19561558" y="12063663"/>
          <a:ext cx="1088642" cy="850805"/>
          <a:chOff x="6644308" y="9327046"/>
          <a:chExt cx="1596473" cy="909430"/>
        </a:xfrm>
      </xdr:grpSpPr>
      <xdr:sp macro="" textlink="">
        <xdr:nvSpPr>
          <xdr:cNvPr id="19" name="Rectangle 18">
            <a:extLst>
              <a:ext uri="{FF2B5EF4-FFF2-40B4-BE49-F238E27FC236}">
                <a16:creationId xmlns:a16="http://schemas.microsoft.com/office/drawing/2014/main" id="{1F905A3F-47A7-4AFB-B4EC-B0AA42880D7B}"/>
              </a:ext>
            </a:extLst>
          </xdr:cNvPr>
          <xdr:cNvSpPr/>
        </xdr:nvSpPr>
        <xdr:spPr>
          <a:xfrm>
            <a:off x="6658801" y="9327046"/>
            <a:ext cx="1581980" cy="909430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20" name="Straight Connector 19">
            <a:extLst>
              <a:ext uri="{FF2B5EF4-FFF2-40B4-BE49-F238E27FC236}">
                <a16:creationId xmlns:a16="http://schemas.microsoft.com/office/drawing/2014/main" id="{D9941CDF-7508-4678-99ED-FB806B241339}"/>
              </a:ext>
            </a:extLst>
          </xdr:cNvPr>
          <xdr:cNvCxnSpPr/>
        </xdr:nvCxnSpPr>
        <xdr:spPr>
          <a:xfrm>
            <a:off x="6743700" y="9332844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Straight Connector 20">
            <a:extLst>
              <a:ext uri="{FF2B5EF4-FFF2-40B4-BE49-F238E27FC236}">
                <a16:creationId xmlns:a16="http://schemas.microsoft.com/office/drawing/2014/main" id="{83EEF9E6-5B87-4A5B-9D4F-C2FDA087969C}"/>
              </a:ext>
            </a:extLst>
          </xdr:cNvPr>
          <xdr:cNvCxnSpPr/>
        </xdr:nvCxnSpPr>
        <xdr:spPr>
          <a:xfrm>
            <a:off x="6644308" y="9438861"/>
            <a:ext cx="219075" cy="20830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232153</xdr:colOff>
      <xdr:row>50</xdr:row>
      <xdr:rowOff>43544</xdr:rowOff>
    </xdr:from>
    <xdr:to>
      <xdr:col>22</xdr:col>
      <xdr:colOff>677848</xdr:colOff>
      <xdr:row>51</xdr:row>
      <xdr:rowOff>119743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FDF3DD47-F948-4BC8-A593-8DCF55A3B852}"/>
            </a:ext>
          </a:extLst>
        </xdr:cNvPr>
        <xdr:cNvGrpSpPr/>
      </xdr:nvGrpSpPr>
      <xdr:grpSpPr>
        <a:xfrm>
          <a:off x="19354342" y="13470786"/>
          <a:ext cx="1440306" cy="348915"/>
          <a:chOff x="16027324" y="11310258"/>
          <a:chExt cx="1447181" cy="348342"/>
        </a:xfrm>
      </xdr:grpSpPr>
      <xdr:sp macro="" textlink="">
        <xdr:nvSpPr>
          <xdr:cNvPr id="23" name="Freeform 85">
            <a:extLst>
              <a:ext uri="{FF2B5EF4-FFF2-40B4-BE49-F238E27FC236}">
                <a16:creationId xmlns:a16="http://schemas.microsoft.com/office/drawing/2014/main" id="{427444C9-8442-48D2-8EB2-CE66C62DB367}"/>
              </a:ext>
            </a:extLst>
          </xdr:cNvPr>
          <xdr:cNvSpPr/>
        </xdr:nvSpPr>
        <xdr:spPr>
          <a:xfrm>
            <a:off x="16027324" y="11326585"/>
            <a:ext cx="1447181" cy="299357"/>
          </a:xfrm>
          <a:custGeom>
            <a:avLst/>
            <a:gdLst>
              <a:gd name="connsiteX0" fmla="*/ 0 w 915147"/>
              <a:gd name="connsiteY0" fmla="*/ 0 h 0"/>
              <a:gd name="connsiteX1" fmla="*/ 915147 w 915147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915147">
                <a:moveTo>
                  <a:pt x="0" y="0"/>
                </a:moveTo>
                <a:lnTo>
                  <a:pt x="915147" y="0"/>
                </a:lnTo>
              </a:path>
            </a:pathLst>
          </a:cu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xdr:txBody>
      </xdr:sp>
      <xdr:cxnSp macro="">
        <xdr:nvCxnSpPr>
          <xdr:cNvPr id="24" name="Straight Connector 23">
            <a:extLst>
              <a:ext uri="{FF2B5EF4-FFF2-40B4-BE49-F238E27FC236}">
                <a16:creationId xmlns:a16="http://schemas.microsoft.com/office/drawing/2014/main" id="{3B811EC9-C17C-4A3D-AFCE-618776CB7F8B}"/>
              </a:ext>
            </a:extLst>
          </xdr:cNvPr>
          <xdr:cNvCxnSpPr>
            <a:stCxn id="23" idx="0"/>
          </xdr:cNvCxnSpPr>
        </xdr:nvCxnSpPr>
        <xdr:spPr>
          <a:xfrm>
            <a:off x="16027324" y="11326585"/>
            <a:ext cx="377447" cy="332015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" name="Straight Connector 24">
            <a:extLst>
              <a:ext uri="{FF2B5EF4-FFF2-40B4-BE49-F238E27FC236}">
                <a16:creationId xmlns:a16="http://schemas.microsoft.com/office/drawing/2014/main" id="{C78ACA45-ADFB-4F7A-8C76-794B75EF7245}"/>
              </a:ext>
            </a:extLst>
          </xdr:cNvPr>
          <xdr:cNvCxnSpPr/>
        </xdr:nvCxnSpPr>
        <xdr:spPr>
          <a:xfrm flipH="1">
            <a:off x="17101457" y="11310258"/>
            <a:ext cx="359229" cy="348342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275696</xdr:colOff>
      <xdr:row>38</xdr:row>
      <xdr:rowOff>244929</xdr:rowOff>
    </xdr:from>
    <xdr:to>
      <xdr:col>22</xdr:col>
      <xdr:colOff>721391</xdr:colOff>
      <xdr:row>40</xdr:row>
      <xdr:rowOff>0</xdr:rowOff>
    </xdr:to>
    <xdr:sp macro="" textlink="">
      <xdr:nvSpPr>
        <xdr:cNvPr id="26" name="Freeform 85">
          <a:extLst>
            <a:ext uri="{FF2B5EF4-FFF2-40B4-BE49-F238E27FC236}">
              <a16:creationId xmlns:a16="http://schemas.microsoft.com/office/drawing/2014/main" id="{C8EC773E-E310-4B29-AB86-0D4BDA7FC8E8}"/>
            </a:ext>
          </a:extLst>
        </xdr:cNvPr>
        <xdr:cNvSpPr/>
      </xdr:nvSpPr>
      <xdr:spPr>
        <a:xfrm>
          <a:off x="19295216" y="570084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38</xdr:row>
      <xdr:rowOff>244929</xdr:rowOff>
    </xdr:from>
    <xdr:to>
      <xdr:col>22</xdr:col>
      <xdr:colOff>721391</xdr:colOff>
      <xdr:row>40</xdr:row>
      <xdr:rowOff>0</xdr:rowOff>
    </xdr:to>
    <xdr:sp macro="" textlink="">
      <xdr:nvSpPr>
        <xdr:cNvPr id="28" name="Freeform 85">
          <a:extLst>
            <a:ext uri="{FF2B5EF4-FFF2-40B4-BE49-F238E27FC236}">
              <a16:creationId xmlns:a16="http://schemas.microsoft.com/office/drawing/2014/main" id="{314BAC8F-F535-4063-8F21-5652F17CDA0F}"/>
            </a:ext>
          </a:extLst>
        </xdr:cNvPr>
        <xdr:cNvSpPr/>
      </xdr:nvSpPr>
      <xdr:spPr>
        <a:xfrm>
          <a:off x="19295216" y="570084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38</xdr:row>
      <xdr:rowOff>244929</xdr:rowOff>
    </xdr:from>
    <xdr:to>
      <xdr:col>22</xdr:col>
      <xdr:colOff>721391</xdr:colOff>
      <xdr:row>40</xdr:row>
      <xdr:rowOff>0</xdr:rowOff>
    </xdr:to>
    <xdr:sp macro="" textlink="">
      <xdr:nvSpPr>
        <xdr:cNvPr id="29" name="Freeform 85">
          <a:extLst>
            <a:ext uri="{FF2B5EF4-FFF2-40B4-BE49-F238E27FC236}">
              <a16:creationId xmlns:a16="http://schemas.microsoft.com/office/drawing/2014/main" id="{E9BC2186-8A01-47D2-85E4-AF67EFD2693B}"/>
            </a:ext>
          </a:extLst>
        </xdr:cNvPr>
        <xdr:cNvSpPr/>
      </xdr:nvSpPr>
      <xdr:spPr>
        <a:xfrm>
          <a:off x="19295216" y="570084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277826</xdr:colOff>
      <xdr:row>17</xdr:row>
      <xdr:rowOff>45637</xdr:rowOff>
    </xdr:from>
    <xdr:to>
      <xdr:col>22</xdr:col>
      <xdr:colOff>723521</xdr:colOff>
      <xdr:row>18</xdr:row>
      <xdr:rowOff>70339</xdr:rowOff>
    </xdr:to>
    <xdr:sp macro="" textlink="">
      <xdr:nvSpPr>
        <xdr:cNvPr id="31" name="Freeform 85">
          <a:extLst>
            <a:ext uri="{FF2B5EF4-FFF2-40B4-BE49-F238E27FC236}">
              <a16:creationId xmlns:a16="http://schemas.microsoft.com/office/drawing/2014/main" id="{54CA803D-05E4-422E-8BED-065E578F6510}"/>
            </a:ext>
          </a:extLst>
        </xdr:cNvPr>
        <xdr:cNvSpPr/>
      </xdr:nvSpPr>
      <xdr:spPr>
        <a:xfrm>
          <a:off x="19297346" y="9616357"/>
          <a:ext cx="1443915" cy="29902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34</xdr:row>
      <xdr:rowOff>244929</xdr:rowOff>
    </xdr:from>
    <xdr:to>
      <xdr:col>22</xdr:col>
      <xdr:colOff>721391</xdr:colOff>
      <xdr:row>36</xdr:row>
      <xdr:rowOff>0</xdr:rowOff>
    </xdr:to>
    <xdr:sp macro="" textlink="">
      <xdr:nvSpPr>
        <xdr:cNvPr id="32" name="Freeform 85">
          <a:extLst>
            <a:ext uri="{FF2B5EF4-FFF2-40B4-BE49-F238E27FC236}">
              <a16:creationId xmlns:a16="http://schemas.microsoft.com/office/drawing/2014/main" id="{9072C834-5E3E-43DE-890F-446BD0629CE0}"/>
            </a:ext>
          </a:extLst>
        </xdr:cNvPr>
        <xdr:cNvSpPr/>
      </xdr:nvSpPr>
      <xdr:spPr>
        <a:xfrm>
          <a:off x="19295216" y="460356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34</xdr:row>
      <xdr:rowOff>244929</xdr:rowOff>
    </xdr:from>
    <xdr:to>
      <xdr:col>22</xdr:col>
      <xdr:colOff>721391</xdr:colOff>
      <xdr:row>36</xdr:row>
      <xdr:rowOff>0</xdr:rowOff>
    </xdr:to>
    <xdr:sp macro="" textlink="">
      <xdr:nvSpPr>
        <xdr:cNvPr id="33" name="Freeform 85">
          <a:extLst>
            <a:ext uri="{FF2B5EF4-FFF2-40B4-BE49-F238E27FC236}">
              <a16:creationId xmlns:a16="http://schemas.microsoft.com/office/drawing/2014/main" id="{4DEF586D-5BFA-4D33-9877-4AFB369712CA}"/>
            </a:ext>
          </a:extLst>
        </xdr:cNvPr>
        <xdr:cNvSpPr/>
      </xdr:nvSpPr>
      <xdr:spPr>
        <a:xfrm>
          <a:off x="19295216" y="460356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34</xdr:row>
      <xdr:rowOff>244929</xdr:rowOff>
    </xdr:from>
    <xdr:to>
      <xdr:col>22</xdr:col>
      <xdr:colOff>721391</xdr:colOff>
      <xdr:row>36</xdr:row>
      <xdr:rowOff>0</xdr:rowOff>
    </xdr:to>
    <xdr:sp macro="" textlink="">
      <xdr:nvSpPr>
        <xdr:cNvPr id="34" name="Freeform 85">
          <a:extLst>
            <a:ext uri="{FF2B5EF4-FFF2-40B4-BE49-F238E27FC236}">
              <a16:creationId xmlns:a16="http://schemas.microsoft.com/office/drawing/2014/main" id="{1429DF89-9BB3-463A-B7F5-8347B5C97E01}"/>
            </a:ext>
          </a:extLst>
        </xdr:cNvPr>
        <xdr:cNvSpPr/>
      </xdr:nvSpPr>
      <xdr:spPr>
        <a:xfrm>
          <a:off x="19295216" y="460356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34</xdr:row>
      <xdr:rowOff>244929</xdr:rowOff>
    </xdr:from>
    <xdr:to>
      <xdr:col>22</xdr:col>
      <xdr:colOff>721391</xdr:colOff>
      <xdr:row>36</xdr:row>
      <xdr:rowOff>0</xdr:rowOff>
    </xdr:to>
    <xdr:sp macro="" textlink="">
      <xdr:nvSpPr>
        <xdr:cNvPr id="35" name="Freeform 85">
          <a:extLst>
            <a:ext uri="{FF2B5EF4-FFF2-40B4-BE49-F238E27FC236}">
              <a16:creationId xmlns:a16="http://schemas.microsoft.com/office/drawing/2014/main" id="{750936E1-4590-4C5A-96FD-184CC0909D3F}"/>
            </a:ext>
          </a:extLst>
        </xdr:cNvPr>
        <xdr:cNvSpPr/>
      </xdr:nvSpPr>
      <xdr:spPr>
        <a:xfrm>
          <a:off x="19295216" y="460356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34</xdr:row>
      <xdr:rowOff>244929</xdr:rowOff>
    </xdr:from>
    <xdr:to>
      <xdr:col>22</xdr:col>
      <xdr:colOff>721391</xdr:colOff>
      <xdr:row>36</xdr:row>
      <xdr:rowOff>0</xdr:rowOff>
    </xdr:to>
    <xdr:sp macro="" textlink="">
      <xdr:nvSpPr>
        <xdr:cNvPr id="37" name="Freeform 85">
          <a:extLst>
            <a:ext uri="{FF2B5EF4-FFF2-40B4-BE49-F238E27FC236}">
              <a16:creationId xmlns:a16="http://schemas.microsoft.com/office/drawing/2014/main" id="{89F787C9-771A-47AF-AB03-FA9784ECEA62}"/>
            </a:ext>
          </a:extLst>
        </xdr:cNvPr>
        <xdr:cNvSpPr/>
      </xdr:nvSpPr>
      <xdr:spPr>
        <a:xfrm>
          <a:off x="19295216" y="460356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34</xdr:row>
      <xdr:rowOff>244929</xdr:rowOff>
    </xdr:from>
    <xdr:to>
      <xdr:col>22</xdr:col>
      <xdr:colOff>721391</xdr:colOff>
      <xdr:row>36</xdr:row>
      <xdr:rowOff>0</xdr:rowOff>
    </xdr:to>
    <xdr:sp macro="" textlink="">
      <xdr:nvSpPr>
        <xdr:cNvPr id="38" name="Freeform 85">
          <a:extLst>
            <a:ext uri="{FF2B5EF4-FFF2-40B4-BE49-F238E27FC236}">
              <a16:creationId xmlns:a16="http://schemas.microsoft.com/office/drawing/2014/main" id="{EEF2F815-5750-44AA-8F6E-82975A0F4F4B}"/>
            </a:ext>
          </a:extLst>
        </xdr:cNvPr>
        <xdr:cNvSpPr/>
      </xdr:nvSpPr>
      <xdr:spPr>
        <a:xfrm>
          <a:off x="19295216" y="460356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381300</xdr:colOff>
      <xdr:row>53</xdr:row>
      <xdr:rowOff>258417</xdr:rowOff>
    </xdr:from>
    <xdr:to>
      <xdr:col>22</xdr:col>
      <xdr:colOff>636104</xdr:colOff>
      <xdr:row>56</xdr:row>
      <xdr:rowOff>227696</xdr:rowOff>
    </xdr:to>
    <xdr:grpSp>
      <xdr:nvGrpSpPr>
        <xdr:cNvPr id="39" name="Group 38">
          <a:extLst>
            <a:ext uri="{FF2B5EF4-FFF2-40B4-BE49-F238E27FC236}">
              <a16:creationId xmlns:a16="http://schemas.microsoft.com/office/drawing/2014/main" id="{D6737213-E4A1-4214-BB73-43146264024D}"/>
            </a:ext>
          </a:extLst>
        </xdr:cNvPr>
        <xdr:cNvGrpSpPr/>
      </xdr:nvGrpSpPr>
      <xdr:grpSpPr>
        <a:xfrm>
          <a:off x="19503489" y="14455680"/>
          <a:ext cx="1249415" cy="787427"/>
          <a:chOff x="19353241" y="14338690"/>
          <a:chExt cx="1254697" cy="701543"/>
        </a:xfrm>
      </xdr:grpSpPr>
      <xdr:cxnSp macro="">
        <xdr:nvCxnSpPr>
          <xdr:cNvPr id="40" name="Straight Connector 39">
            <a:extLst>
              <a:ext uri="{FF2B5EF4-FFF2-40B4-BE49-F238E27FC236}">
                <a16:creationId xmlns:a16="http://schemas.microsoft.com/office/drawing/2014/main" id="{73959BB2-1609-44E0-A7B0-288B0E738824}"/>
              </a:ext>
            </a:extLst>
          </xdr:cNvPr>
          <xdr:cNvCxnSpPr/>
        </xdr:nvCxnSpPr>
        <xdr:spPr>
          <a:xfrm>
            <a:off x="19804566" y="14351620"/>
            <a:ext cx="323385" cy="7435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1" name="Straight Connector 40">
            <a:extLst>
              <a:ext uri="{FF2B5EF4-FFF2-40B4-BE49-F238E27FC236}">
                <a16:creationId xmlns:a16="http://schemas.microsoft.com/office/drawing/2014/main" id="{07266C57-45A8-4D90-BC9C-A59288A88090}"/>
              </a:ext>
            </a:extLst>
          </xdr:cNvPr>
          <xdr:cNvCxnSpPr/>
        </xdr:nvCxnSpPr>
        <xdr:spPr>
          <a:xfrm>
            <a:off x="19819434" y="14362771"/>
            <a:ext cx="2515" cy="677462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2" name="Straight Connector 41">
            <a:extLst>
              <a:ext uri="{FF2B5EF4-FFF2-40B4-BE49-F238E27FC236}">
                <a16:creationId xmlns:a16="http://schemas.microsoft.com/office/drawing/2014/main" id="{6DB17346-CAA4-487F-88F9-8BDB7CC92E77}"/>
              </a:ext>
            </a:extLst>
          </xdr:cNvPr>
          <xdr:cNvCxnSpPr/>
        </xdr:nvCxnSpPr>
        <xdr:spPr>
          <a:xfrm>
            <a:off x="20134023" y="14338690"/>
            <a:ext cx="0" cy="694206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Straight Connector 42">
            <a:extLst>
              <a:ext uri="{FF2B5EF4-FFF2-40B4-BE49-F238E27FC236}">
                <a16:creationId xmlns:a16="http://schemas.microsoft.com/office/drawing/2014/main" id="{7C96E8E7-498D-4241-AC38-F34A0AC9B6E4}"/>
              </a:ext>
            </a:extLst>
          </xdr:cNvPr>
          <xdr:cNvCxnSpPr/>
        </xdr:nvCxnSpPr>
        <xdr:spPr>
          <a:xfrm>
            <a:off x="20123607" y="15032896"/>
            <a:ext cx="484331" cy="733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4" name="Straight Connector 43">
            <a:extLst>
              <a:ext uri="{FF2B5EF4-FFF2-40B4-BE49-F238E27FC236}">
                <a16:creationId xmlns:a16="http://schemas.microsoft.com/office/drawing/2014/main" id="{E004AE9B-9956-4CF3-88E8-3A4A4152F901}"/>
              </a:ext>
            </a:extLst>
          </xdr:cNvPr>
          <xdr:cNvCxnSpPr/>
        </xdr:nvCxnSpPr>
        <xdr:spPr>
          <a:xfrm>
            <a:off x="19353241" y="15025557"/>
            <a:ext cx="484331" cy="7337"/>
          </a:xfrm>
          <a:prstGeom prst="line">
            <a:avLst/>
          </a:prstGeom>
          <a:ln w="381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21</xdr:col>
      <xdr:colOff>275696</xdr:colOff>
      <xdr:row>60</xdr:row>
      <xdr:rowOff>244929</xdr:rowOff>
    </xdr:from>
    <xdr:to>
      <xdr:col>22</xdr:col>
      <xdr:colOff>721391</xdr:colOff>
      <xdr:row>62</xdr:row>
      <xdr:rowOff>0</xdr:rowOff>
    </xdr:to>
    <xdr:sp macro="" textlink="">
      <xdr:nvSpPr>
        <xdr:cNvPr id="45" name="Freeform 85">
          <a:extLst>
            <a:ext uri="{FF2B5EF4-FFF2-40B4-BE49-F238E27FC236}">
              <a16:creationId xmlns:a16="http://schemas.microsoft.com/office/drawing/2014/main" id="{4041AC3E-8C89-46BD-AEFC-C064F24C3C1E}"/>
            </a:ext>
          </a:extLst>
        </xdr:cNvPr>
        <xdr:cNvSpPr/>
      </xdr:nvSpPr>
      <xdr:spPr>
        <a:xfrm>
          <a:off x="19295216" y="1612500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60</xdr:row>
      <xdr:rowOff>244929</xdr:rowOff>
    </xdr:from>
    <xdr:to>
      <xdr:col>22</xdr:col>
      <xdr:colOff>721391</xdr:colOff>
      <xdr:row>62</xdr:row>
      <xdr:rowOff>0</xdr:rowOff>
    </xdr:to>
    <xdr:sp macro="" textlink="">
      <xdr:nvSpPr>
        <xdr:cNvPr id="46" name="Freeform 85">
          <a:extLst>
            <a:ext uri="{FF2B5EF4-FFF2-40B4-BE49-F238E27FC236}">
              <a16:creationId xmlns:a16="http://schemas.microsoft.com/office/drawing/2014/main" id="{AC614899-873D-4F66-8DBF-4A6DD3AEEBA4}"/>
            </a:ext>
          </a:extLst>
        </xdr:cNvPr>
        <xdr:cNvSpPr/>
      </xdr:nvSpPr>
      <xdr:spPr>
        <a:xfrm>
          <a:off x="19295216" y="1612500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275696</xdr:colOff>
      <xdr:row>60</xdr:row>
      <xdr:rowOff>244929</xdr:rowOff>
    </xdr:from>
    <xdr:to>
      <xdr:col>22</xdr:col>
      <xdr:colOff>721391</xdr:colOff>
      <xdr:row>62</xdr:row>
      <xdr:rowOff>0</xdr:rowOff>
    </xdr:to>
    <xdr:sp macro="" textlink="">
      <xdr:nvSpPr>
        <xdr:cNvPr id="47" name="Freeform 85">
          <a:extLst>
            <a:ext uri="{FF2B5EF4-FFF2-40B4-BE49-F238E27FC236}">
              <a16:creationId xmlns:a16="http://schemas.microsoft.com/office/drawing/2014/main" id="{1C091754-1A69-4B48-AF32-7C2191DB6529}"/>
            </a:ext>
          </a:extLst>
        </xdr:cNvPr>
        <xdr:cNvSpPr/>
      </xdr:nvSpPr>
      <xdr:spPr>
        <a:xfrm>
          <a:off x="19295216" y="16125009"/>
          <a:ext cx="1443915" cy="30371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996649</xdr:colOff>
      <xdr:row>28</xdr:row>
      <xdr:rowOff>67118</xdr:rowOff>
    </xdr:from>
    <xdr:to>
      <xdr:col>22</xdr:col>
      <xdr:colOff>304801</xdr:colOff>
      <xdr:row>32</xdr:row>
      <xdr:rowOff>160458</xdr:rowOff>
    </xdr:to>
    <xdr:grpSp>
      <xdr:nvGrpSpPr>
        <xdr:cNvPr id="50" name="Group 49">
          <a:extLst>
            <a:ext uri="{FF2B5EF4-FFF2-40B4-BE49-F238E27FC236}">
              <a16:creationId xmlns:a16="http://schemas.microsoft.com/office/drawing/2014/main" id="{BEE46B43-8F08-471A-A4B5-BBE777A79E9B}"/>
            </a:ext>
          </a:extLst>
        </xdr:cNvPr>
        <xdr:cNvGrpSpPr/>
      </xdr:nvGrpSpPr>
      <xdr:grpSpPr>
        <a:xfrm>
          <a:off x="20118838" y="7542739"/>
          <a:ext cx="302763" cy="1184203"/>
          <a:chOff x="20199048" y="2940947"/>
          <a:chExt cx="278047" cy="1181912"/>
        </a:xfrm>
      </xdr:grpSpPr>
      <xdr:sp macro="" textlink="">
        <xdr:nvSpPr>
          <xdr:cNvPr id="3" name="Freeform 85">
            <a:extLst>
              <a:ext uri="{FF2B5EF4-FFF2-40B4-BE49-F238E27FC236}">
                <a16:creationId xmlns:a16="http://schemas.microsoft.com/office/drawing/2014/main" id="{5768597A-A8BC-4970-892C-55649CA45FDF}"/>
              </a:ext>
            </a:extLst>
          </xdr:cNvPr>
          <xdr:cNvSpPr/>
        </xdr:nvSpPr>
        <xdr:spPr>
          <a:xfrm rot="5400000">
            <a:off x="19765071" y="3374924"/>
            <a:ext cx="972236" cy="104281"/>
          </a:xfrm>
          <a:custGeom>
            <a:avLst/>
            <a:gdLst>
              <a:gd name="connsiteX0" fmla="*/ 0 w 915147"/>
              <a:gd name="connsiteY0" fmla="*/ 0 h 0"/>
              <a:gd name="connsiteX1" fmla="*/ 915147 w 915147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915147">
                <a:moveTo>
                  <a:pt x="0" y="0"/>
                </a:moveTo>
                <a:lnTo>
                  <a:pt x="915147" y="0"/>
                </a:lnTo>
              </a:path>
            </a:pathLst>
          </a:cu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4" name="Freeform 85">
            <a:extLst>
              <a:ext uri="{FF2B5EF4-FFF2-40B4-BE49-F238E27FC236}">
                <a16:creationId xmlns:a16="http://schemas.microsoft.com/office/drawing/2014/main" id="{E6A3C7A0-4AA9-4F72-8FDC-86EC2F4BEF35}"/>
              </a:ext>
            </a:extLst>
          </xdr:cNvPr>
          <xdr:cNvSpPr/>
        </xdr:nvSpPr>
        <xdr:spPr>
          <a:xfrm>
            <a:off x="20308072" y="3890542"/>
            <a:ext cx="169023" cy="232317"/>
          </a:xfrm>
          <a:custGeom>
            <a:avLst/>
            <a:gdLst>
              <a:gd name="connsiteX0" fmla="*/ 0 w 915147"/>
              <a:gd name="connsiteY0" fmla="*/ 0 h 0"/>
              <a:gd name="connsiteX1" fmla="*/ 915147 w 915147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915147">
                <a:moveTo>
                  <a:pt x="0" y="0"/>
                </a:moveTo>
                <a:lnTo>
                  <a:pt x="915147" y="0"/>
                </a:lnTo>
              </a:path>
            </a:pathLst>
          </a:cu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48" name="Freeform 85">
            <a:extLst>
              <a:ext uri="{FF2B5EF4-FFF2-40B4-BE49-F238E27FC236}">
                <a16:creationId xmlns:a16="http://schemas.microsoft.com/office/drawing/2014/main" id="{CBCBC751-F78E-4AB4-9497-8C49C61A0699}"/>
              </a:ext>
            </a:extLst>
          </xdr:cNvPr>
          <xdr:cNvSpPr/>
        </xdr:nvSpPr>
        <xdr:spPr>
          <a:xfrm>
            <a:off x="20302817" y="2957822"/>
            <a:ext cx="169023" cy="232317"/>
          </a:xfrm>
          <a:custGeom>
            <a:avLst/>
            <a:gdLst>
              <a:gd name="connsiteX0" fmla="*/ 0 w 915147"/>
              <a:gd name="connsiteY0" fmla="*/ 0 h 0"/>
              <a:gd name="connsiteX1" fmla="*/ 915147 w 915147"/>
              <a:gd name="connsiteY1" fmla="*/ 0 h 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915147">
                <a:moveTo>
                  <a:pt x="0" y="0"/>
                </a:moveTo>
                <a:lnTo>
                  <a:pt x="915147" y="0"/>
                </a:lnTo>
              </a:path>
            </a:pathLst>
          </a:custGeom>
          <a:ln w="3810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tx1"/>
              </a:solidFill>
              <a:latin typeface="+mn-lt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21</xdr:col>
      <xdr:colOff>277826</xdr:colOff>
      <xdr:row>11</xdr:row>
      <xdr:rowOff>45637</xdr:rowOff>
    </xdr:from>
    <xdr:to>
      <xdr:col>22</xdr:col>
      <xdr:colOff>723521</xdr:colOff>
      <xdr:row>12</xdr:row>
      <xdr:rowOff>0</xdr:rowOff>
    </xdr:to>
    <xdr:sp macro="" textlink="">
      <xdr:nvSpPr>
        <xdr:cNvPr id="49" name="Freeform 85">
          <a:extLst>
            <a:ext uri="{FF2B5EF4-FFF2-40B4-BE49-F238E27FC236}">
              <a16:creationId xmlns:a16="http://schemas.microsoft.com/office/drawing/2014/main" id="{354E1FD7-599D-46C5-B7DC-3375A91459FE}"/>
            </a:ext>
          </a:extLst>
        </xdr:cNvPr>
        <xdr:cNvSpPr/>
      </xdr:nvSpPr>
      <xdr:spPr>
        <a:xfrm>
          <a:off x="19410953" y="2400910"/>
          <a:ext cx="1443223" cy="23145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277826</xdr:colOff>
      <xdr:row>13</xdr:row>
      <xdr:rowOff>45637</xdr:rowOff>
    </xdr:from>
    <xdr:to>
      <xdr:col>22</xdr:col>
      <xdr:colOff>723521</xdr:colOff>
      <xdr:row>14</xdr:row>
      <xdr:rowOff>0</xdr:rowOff>
    </xdr:to>
    <xdr:sp macro="" textlink="">
      <xdr:nvSpPr>
        <xdr:cNvPr id="51" name="Freeform 85">
          <a:extLst>
            <a:ext uri="{FF2B5EF4-FFF2-40B4-BE49-F238E27FC236}">
              <a16:creationId xmlns:a16="http://schemas.microsoft.com/office/drawing/2014/main" id="{25D5270C-E9EC-4E3F-B20B-372694B0347A}"/>
            </a:ext>
          </a:extLst>
        </xdr:cNvPr>
        <xdr:cNvSpPr/>
      </xdr:nvSpPr>
      <xdr:spPr>
        <a:xfrm>
          <a:off x="19410953" y="2400910"/>
          <a:ext cx="1443223" cy="23145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277826</xdr:colOff>
      <xdr:row>15</xdr:row>
      <xdr:rowOff>45637</xdr:rowOff>
    </xdr:from>
    <xdr:to>
      <xdr:col>22</xdr:col>
      <xdr:colOff>723521</xdr:colOff>
      <xdr:row>16</xdr:row>
      <xdr:rowOff>0</xdr:rowOff>
    </xdr:to>
    <xdr:sp macro="" textlink="">
      <xdr:nvSpPr>
        <xdr:cNvPr id="52" name="Freeform 85">
          <a:extLst>
            <a:ext uri="{FF2B5EF4-FFF2-40B4-BE49-F238E27FC236}">
              <a16:creationId xmlns:a16="http://schemas.microsoft.com/office/drawing/2014/main" id="{FB935962-57CB-48EE-914B-C8E9D99239E9}"/>
            </a:ext>
          </a:extLst>
        </xdr:cNvPr>
        <xdr:cNvSpPr/>
      </xdr:nvSpPr>
      <xdr:spPr>
        <a:xfrm>
          <a:off x="19410953" y="2955092"/>
          <a:ext cx="1443223" cy="231453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W85"/>
  <sheetViews>
    <sheetView tabSelected="1" view="pageBreakPreview" topLeftCell="J19" zoomScale="95" zoomScaleNormal="95" zoomScaleSheetLayoutView="95" zoomScalePageLayoutView="55" workbookViewId="0">
      <selection activeCell="V11" sqref="V11:W11"/>
    </sheetView>
  </sheetViews>
  <sheetFormatPr defaultColWidth="9.109375" defaultRowHeight="13.8" x14ac:dyDescent="0.25"/>
  <cols>
    <col min="1" max="1" width="7.88671875" style="19" customWidth="1"/>
    <col min="2" max="2" width="23.6640625" style="19" customWidth="1"/>
    <col min="3" max="3" width="9.44140625" style="19" customWidth="1"/>
    <col min="4" max="5" width="13.33203125" style="19" customWidth="1"/>
    <col min="6" max="6" width="14.44140625" style="19" customWidth="1"/>
    <col min="7" max="7" width="11.6640625" style="21" customWidth="1"/>
    <col min="8" max="9" width="11.5546875" style="21" customWidth="1"/>
    <col min="10" max="14" width="12.33203125" style="21" customWidth="1"/>
    <col min="15" max="15" width="13.88671875" style="21" customWidth="1"/>
    <col min="16" max="16" width="10.77734375" style="21" customWidth="1"/>
    <col min="17" max="17" width="15.21875" style="21" customWidth="1"/>
    <col min="18" max="18" width="21.21875" style="21" customWidth="1"/>
    <col min="19" max="19" width="14.109375" style="21" customWidth="1"/>
    <col min="20" max="20" width="10.77734375" style="22" customWidth="1"/>
    <col min="21" max="21" width="14.44140625" style="21" customWidth="1"/>
    <col min="22" max="22" width="14.5546875" style="19" customWidth="1"/>
    <col min="23" max="23" width="14.6640625" style="19" customWidth="1"/>
    <col min="24" max="16384" width="9.109375" style="19"/>
  </cols>
  <sheetData>
    <row r="1" spans="1:23" s="18" customFormat="1" ht="24" customHeight="1" x14ac:dyDescent="0.4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</row>
    <row r="2" spans="1:23" s="3" customFormat="1" ht="17.399999999999999" x14ac:dyDescent="0.3">
      <c r="A2" s="7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V2" s="9"/>
      <c r="W2" s="6"/>
    </row>
    <row r="3" spans="1:23" s="3" customFormat="1" ht="21" customHeight="1" x14ac:dyDescent="0.3">
      <c r="A3" s="7" t="s">
        <v>34</v>
      </c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4"/>
      <c r="O3" s="4"/>
      <c r="P3" s="4"/>
      <c r="Q3" s="4"/>
      <c r="R3" s="4"/>
      <c r="S3" s="16" t="s">
        <v>41</v>
      </c>
      <c r="T3" s="17">
        <v>3</v>
      </c>
      <c r="U3" s="9" t="s">
        <v>18</v>
      </c>
      <c r="V3" s="9"/>
      <c r="W3" s="6"/>
    </row>
    <row r="4" spans="1:23" s="3" customFormat="1" ht="14.25" customHeight="1" x14ac:dyDescent="0.3">
      <c r="A4" s="5"/>
      <c r="B4" s="6"/>
      <c r="C4" s="5"/>
      <c r="D4" s="5"/>
      <c r="E4" s="5"/>
      <c r="F4" s="11"/>
      <c r="G4" s="15"/>
      <c r="H4" s="12" t="s">
        <v>35</v>
      </c>
      <c r="I4" s="13">
        <v>29</v>
      </c>
      <c r="J4" s="14" t="s">
        <v>17</v>
      </c>
      <c r="K4" s="15"/>
      <c r="L4" s="15"/>
      <c r="M4" s="15"/>
      <c r="N4" s="10"/>
      <c r="O4" s="10"/>
      <c r="P4" s="10"/>
      <c r="Q4" s="10"/>
      <c r="R4" s="10"/>
      <c r="S4" s="16" t="s">
        <v>42</v>
      </c>
      <c r="T4" s="17">
        <v>2</v>
      </c>
      <c r="U4" s="9" t="s">
        <v>18</v>
      </c>
      <c r="V4" s="1"/>
      <c r="W4" s="1"/>
    </row>
    <row r="5" spans="1:23" s="3" customFormat="1" ht="14.25" customHeight="1" x14ac:dyDescent="0.3">
      <c r="A5" s="5"/>
      <c r="B5" s="6"/>
      <c r="C5" s="5"/>
      <c r="D5" s="5"/>
      <c r="E5" s="5"/>
      <c r="F5" s="11"/>
      <c r="G5" s="15"/>
      <c r="H5" s="12"/>
      <c r="I5" s="13"/>
      <c r="J5" s="14"/>
      <c r="K5" s="15"/>
      <c r="L5" s="15"/>
      <c r="M5" s="15"/>
      <c r="N5" s="10"/>
      <c r="O5" s="10"/>
      <c r="P5" s="10"/>
      <c r="Q5" s="10"/>
      <c r="R5" s="10"/>
      <c r="S5" s="16" t="s">
        <v>43</v>
      </c>
      <c r="T5" s="17">
        <v>1.5</v>
      </c>
      <c r="U5" s="9" t="s">
        <v>18</v>
      </c>
      <c r="V5" s="1"/>
      <c r="W5" s="1"/>
    </row>
    <row r="6" spans="1:23" s="3" customFormat="1" ht="14.25" customHeight="1" thickBot="1" x14ac:dyDescent="0.35">
      <c r="A6" s="5"/>
      <c r="B6" s="6"/>
      <c r="C6" s="5"/>
      <c r="D6" s="5"/>
      <c r="E6" s="5"/>
      <c r="F6" s="11"/>
      <c r="G6" s="15"/>
      <c r="H6" s="12"/>
      <c r="I6" s="13"/>
      <c r="J6" s="14"/>
      <c r="K6" s="15"/>
      <c r="L6" s="15"/>
      <c r="M6" s="15"/>
      <c r="N6" s="10"/>
      <c r="O6" s="10"/>
      <c r="P6" s="10"/>
      <c r="Q6" s="10"/>
      <c r="R6" s="10"/>
      <c r="S6" s="16"/>
      <c r="T6" s="17"/>
      <c r="U6" s="9"/>
      <c r="V6" s="1"/>
      <c r="W6" s="1"/>
    </row>
    <row r="7" spans="1:23" ht="23.25" customHeight="1" x14ac:dyDescent="0.25">
      <c r="A7" s="57" t="s">
        <v>0</v>
      </c>
      <c r="B7" s="59" t="s">
        <v>1</v>
      </c>
      <c r="C7" s="59" t="s">
        <v>2</v>
      </c>
      <c r="D7" s="59" t="s">
        <v>10</v>
      </c>
      <c r="E7" s="59" t="s">
        <v>28</v>
      </c>
      <c r="F7" s="59" t="s">
        <v>3</v>
      </c>
      <c r="G7" s="61" t="s">
        <v>11</v>
      </c>
      <c r="H7" s="61"/>
      <c r="I7" s="61"/>
      <c r="J7" s="61"/>
      <c r="K7" s="61"/>
      <c r="L7" s="61"/>
      <c r="M7" s="62" t="s">
        <v>21</v>
      </c>
      <c r="N7" s="62" t="s">
        <v>20</v>
      </c>
      <c r="O7" s="62" t="s">
        <v>12</v>
      </c>
      <c r="P7" s="68" t="s">
        <v>19</v>
      </c>
      <c r="Q7" s="68" t="s">
        <v>13</v>
      </c>
      <c r="R7" s="68" t="s">
        <v>15</v>
      </c>
      <c r="S7" s="62" t="s">
        <v>14</v>
      </c>
      <c r="T7" s="62" t="s">
        <v>44</v>
      </c>
      <c r="U7" s="62" t="s">
        <v>4</v>
      </c>
      <c r="V7" s="64" t="s">
        <v>22</v>
      </c>
      <c r="W7" s="65"/>
    </row>
    <row r="8" spans="1:23" ht="36" customHeight="1" thickBot="1" x14ac:dyDescent="0.3">
      <c r="A8" s="58"/>
      <c r="B8" s="60"/>
      <c r="C8" s="60"/>
      <c r="D8" s="60"/>
      <c r="E8" s="60"/>
      <c r="F8" s="60"/>
      <c r="G8" s="53" t="s">
        <v>5</v>
      </c>
      <c r="H8" s="53" t="s">
        <v>6</v>
      </c>
      <c r="I8" s="53" t="s">
        <v>7</v>
      </c>
      <c r="J8" s="53" t="s">
        <v>9</v>
      </c>
      <c r="K8" s="53" t="s">
        <v>29</v>
      </c>
      <c r="L8" s="53" t="s">
        <v>8</v>
      </c>
      <c r="M8" s="63"/>
      <c r="N8" s="63"/>
      <c r="O8" s="63"/>
      <c r="P8" s="69"/>
      <c r="Q8" s="69"/>
      <c r="R8" s="69"/>
      <c r="S8" s="63"/>
      <c r="T8" s="63"/>
      <c r="U8" s="63"/>
      <c r="V8" s="66"/>
      <c r="W8" s="67"/>
    </row>
    <row r="9" spans="1:23" s="38" customFormat="1" ht="22.05" customHeight="1" x14ac:dyDescent="0.3">
      <c r="A9" s="80">
        <v>1</v>
      </c>
      <c r="B9" s="81" t="s">
        <v>45</v>
      </c>
      <c r="C9" s="82">
        <v>8</v>
      </c>
      <c r="D9" s="83" t="s">
        <v>16</v>
      </c>
      <c r="E9" s="83"/>
      <c r="F9" s="83">
        <v>10</v>
      </c>
      <c r="G9" s="84">
        <f>$I$4-$T$3/12-$T$3/12</f>
        <v>28.5</v>
      </c>
      <c r="H9" s="83"/>
      <c r="I9" s="83"/>
      <c r="J9" s="84"/>
      <c r="K9" s="85"/>
      <c r="L9" s="84">
        <f>SUM(G9:K10)</f>
        <v>28.5</v>
      </c>
      <c r="M9" s="84">
        <v>1</v>
      </c>
      <c r="N9" s="84">
        <f>((945/1000)*3.28)</f>
        <v>3.0995999999999997</v>
      </c>
      <c r="O9" s="84">
        <f>L9</f>
        <v>28.5</v>
      </c>
      <c r="P9" s="85">
        <v>0</v>
      </c>
      <c r="Q9" s="85">
        <f>(2*(C9/8/12))*P9</f>
        <v>0</v>
      </c>
      <c r="R9" s="84">
        <f>O9-Q9</f>
        <v>28.5</v>
      </c>
      <c r="S9" s="84">
        <f>(F9*R9)</f>
        <v>285</v>
      </c>
      <c r="T9" s="84">
        <f>2.67/2.204</f>
        <v>1.2114337568058076</v>
      </c>
      <c r="U9" s="84">
        <f>(S9*T9)</f>
        <v>345.25862068965517</v>
      </c>
      <c r="V9" s="86">
        <f>G9</f>
        <v>28.5</v>
      </c>
      <c r="W9" s="87"/>
    </row>
    <row r="10" spans="1:23" s="38" customFormat="1" ht="22.05" customHeight="1" x14ac:dyDescent="0.3">
      <c r="A10" s="71"/>
      <c r="B10" s="73"/>
      <c r="C10" s="72"/>
      <c r="D10" s="54"/>
      <c r="E10" s="54"/>
      <c r="F10" s="54"/>
      <c r="G10" s="55"/>
      <c r="H10" s="54"/>
      <c r="I10" s="54"/>
      <c r="J10" s="55"/>
      <c r="K10" s="70"/>
      <c r="L10" s="55"/>
      <c r="M10" s="55"/>
      <c r="N10" s="55">
        <f t="shared" ref="N10:N16" si="0">(1960/1000)*3.28</f>
        <v>6.4287999999999998</v>
      </c>
      <c r="O10" s="55"/>
      <c r="P10" s="70"/>
      <c r="Q10" s="70"/>
      <c r="R10" s="55"/>
      <c r="S10" s="55"/>
      <c r="T10" s="55"/>
      <c r="U10" s="55"/>
      <c r="V10" s="51"/>
      <c r="W10" s="52"/>
    </row>
    <row r="11" spans="1:23" s="38" customFormat="1" ht="22.05" customHeight="1" x14ac:dyDescent="0.3">
      <c r="A11" s="71">
        <v>1</v>
      </c>
      <c r="B11" s="73" t="s">
        <v>46</v>
      </c>
      <c r="C11" s="72">
        <v>8</v>
      </c>
      <c r="D11" s="54" t="s">
        <v>16</v>
      </c>
      <c r="E11" s="54"/>
      <c r="F11" s="54">
        <v>4</v>
      </c>
      <c r="G11" s="55">
        <f>$I$4-$T$3/12-$T$3/12</f>
        <v>28.5</v>
      </c>
      <c r="H11" s="54"/>
      <c r="I11" s="54"/>
      <c r="J11" s="55"/>
      <c r="K11" s="70"/>
      <c r="L11" s="55">
        <f>SUM(G11:K12)</f>
        <v>28.5</v>
      </c>
      <c r="M11" s="55">
        <v>1</v>
      </c>
      <c r="N11" s="55">
        <f>((945/1000)*3.28)</f>
        <v>3.0995999999999997</v>
      </c>
      <c r="O11" s="55">
        <f>L11</f>
        <v>28.5</v>
      </c>
      <c r="P11" s="70">
        <v>0</v>
      </c>
      <c r="Q11" s="70">
        <f>(2*(C11/8/12))*P11</f>
        <v>0</v>
      </c>
      <c r="R11" s="55">
        <f>O11-Q11</f>
        <v>28.5</v>
      </c>
      <c r="S11" s="55">
        <f>(F11*R11)</f>
        <v>114</v>
      </c>
      <c r="T11" s="55">
        <f>2.67/2.204</f>
        <v>1.2114337568058076</v>
      </c>
      <c r="U11" s="55">
        <f>(S11*T11)</f>
        <v>138.10344827586206</v>
      </c>
      <c r="V11" s="88">
        <f>G11</f>
        <v>28.5</v>
      </c>
      <c r="W11" s="89"/>
    </row>
    <row r="12" spans="1:23" s="38" customFormat="1" ht="22.05" customHeight="1" x14ac:dyDescent="0.3">
      <c r="A12" s="71"/>
      <c r="B12" s="73"/>
      <c r="C12" s="72"/>
      <c r="D12" s="54"/>
      <c r="E12" s="54"/>
      <c r="F12" s="54"/>
      <c r="G12" s="55"/>
      <c r="H12" s="54"/>
      <c r="I12" s="54"/>
      <c r="J12" s="55"/>
      <c r="K12" s="70"/>
      <c r="L12" s="55"/>
      <c r="M12" s="55"/>
      <c r="N12" s="55">
        <f t="shared" si="0"/>
        <v>6.4287999999999998</v>
      </c>
      <c r="O12" s="55"/>
      <c r="P12" s="70"/>
      <c r="Q12" s="70"/>
      <c r="R12" s="55"/>
      <c r="S12" s="55"/>
      <c r="T12" s="55"/>
      <c r="U12" s="55"/>
      <c r="V12" s="51"/>
      <c r="W12" s="52"/>
    </row>
    <row r="13" spans="1:23" s="38" customFormat="1" ht="22.05" customHeight="1" x14ac:dyDescent="0.3">
      <c r="A13" s="71">
        <v>1</v>
      </c>
      <c r="B13" s="73" t="s">
        <v>47</v>
      </c>
      <c r="C13" s="72">
        <v>8</v>
      </c>
      <c r="D13" s="54" t="s">
        <v>16</v>
      </c>
      <c r="E13" s="54"/>
      <c r="F13" s="54">
        <v>10</v>
      </c>
      <c r="G13" s="55">
        <f>$I$4-$T$3/12-$T$3/12</f>
        <v>28.5</v>
      </c>
      <c r="H13" s="54"/>
      <c r="I13" s="54"/>
      <c r="J13" s="55"/>
      <c r="K13" s="70"/>
      <c r="L13" s="55">
        <f>SUM(G13:K14)</f>
        <v>28.5</v>
      </c>
      <c r="M13" s="55">
        <v>1</v>
      </c>
      <c r="N13" s="55">
        <f>((945/1000)*3.28)</f>
        <v>3.0995999999999997</v>
      </c>
      <c r="O13" s="55">
        <f>L13</f>
        <v>28.5</v>
      </c>
      <c r="P13" s="70">
        <v>0</v>
      </c>
      <c r="Q13" s="70">
        <f>(2*(C13/8/12))*P13</f>
        <v>0</v>
      </c>
      <c r="R13" s="55">
        <f>O13-Q13</f>
        <v>28.5</v>
      </c>
      <c r="S13" s="55">
        <f>(F13*R13)</f>
        <v>285</v>
      </c>
      <c r="T13" s="55">
        <f>2.67/2.204</f>
        <v>1.2114337568058076</v>
      </c>
      <c r="U13" s="55">
        <f>(S13*T13)</f>
        <v>345.25862068965517</v>
      </c>
      <c r="V13" s="88">
        <f>G13</f>
        <v>28.5</v>
      </c>
      <c r="W13" s="89"/>
    </row>
    <row r="14" spans="1:23" s="38" customFormat="1" ht="22.05" customHeight="1" x14ac:dyDescent="0.3">
      <c r="A14" s="71"/>
      <c r="B14" s="73"/>
      <c r="C14" s="72"/>
      <c r="D14" s="54"/>
      <c r="E14" s="54"/>
      <c r="F14" s="54"/>
      <c r="G14" s="55"/>
      <c r="H14" s="54"/>
      <c r="I14" s="54"/>
      <c r="J14" s="55"/>
      <c r="K14" s="70"/>
      <c r="L14" s="55"/>
      <c r="M14" s="55"/>
      <c r="N14" s="55">
        <f t="shared" si="0"/>
        <v>6.4287999999999998</v>
      </c>
      <c r="O14" s="55"/>
      <c r="P14" s="70"/>
      <c r="Q14" s="70"/>
      <c r="R14" s="55"/>
      <c r="S14" s="55"/>
      <c r="T14" s="55"/>
      <c r="U14" s="55"/>
      <c r="V14" s="51"/>
      <c r="W14" s="52"/>
    </row>
    <row r="15" spans="1:23" s="38" customFormat="1" ht="22.05" customHeight="1" x14ac:dyDescent="0.3">
      <c r="A15" s="71">
        <v>1</v>
      </c>
      <c r="B15" s="73" t="s">
        <v>48</v>
      </c>
      <c r="C15" s="72">
        <v>8</v>
      </c>
      <c r="D15" s="54" t="s">
        <v>16</v>
      </c>
      <c r="E15" s="54"/>
      <c r="F15" s="54">
        <v>4</v>
      </c>
      <c r="G15" s="55">
        <f>$I$4-$T$3/12-$T$3/12</f>
        <v>28.5</v>
      </c>
      <c r="H15" s="54"/>
      <c r="I15" s="54"/>
      <c r="J15" s="55"/>
      <c r="K15" s="70"/>
      <c r="L15" s="55">
        <f>SUM(G15:K16)</f>
        <v>28.5</v>
      </c>
      <c r="M15" s="55">
        <v>1</v>
      </c>
      <c r="N15" s="55">
        <f>((945/1000)*3.28)</f>
        <v>3.0995999999999997</v>
      </c>
      <c r="O15" s="55">
        <f>L15</f>
        <v>28.5</v>
      </c>
      <c r="P15" s="70">
        <v>0</v>
      </c>
      <c r="Q15" s="70">
        <f>(2*(C15/8/12))*P15</f>
        <v>0</v>
      </c>
      <c r="R15" s="55">
        <f>O15-Q15</f>
        <v>28.5</v>
      </c>
      <c r="S15" s="55">
        <f>(F15*R15)</f>
        <v>114</v>
      </c>
      <c r="T15" s="55">
        <f>2.67/2.204</f>
        <v>1.2114337568058076</v>
      </c>
      <c r="U15" s="55">
        <f>(S15*T15)</f>
        <v>138.10344827586206</v>
      </c>
      <c r="V15" s="88">
        <f>G15</f>
        <v>28.5</v>
      </c>
      <c r="W15" s="89"/>
    </row>
    <row r="16" spans="1:23" s="38" customFormat="1" ht="22.05" customHeight="1" x14ac:dyDescent="0.3">
      <c r="A16" s="71"/>
      <c r="B16" s="73"/>
      <c r="C16" s="72"/>
      <c r="D16" s="54"/>
      <c r="E16" s="54"/>
      <c r="F16" s="54"/>
      <c r="G16" s="55"/>
      <c r="H16" s="54"/>
      <c r="I16" s="54"/>
      <c r="J16" s="55"/>
      <c r="K16" s="70"/>
      <c r="L16" s="55"/>
      <c r="M16" s="55"/>
      <c r="N16" s="55">
        <f t="shared" si="0"/>
        <v>6.4287999999999998</v>
      </c>
      <c r="O16" s="55"/>
      <c r="P16" s="70"/>
      <c r="Q16" s="70"/>
      <c r="R16" s="55"/>
      <c r="S16" s="55"/>
      <c r="T16" s="55"/>
      <c r="U16" s="55"/>
      <c r="V16" s="51"/>
      <c r="W16" s="52"/>
    </row>
    <row r="17" spans="1:23" s="38" customFormat="1" ht="22.05" customHeight="1" x14ac:dyDescent="0.3">
      <c r="A17" s="71">
        <v>2</v>
      </c>
      <c r="B17" s="73" t="s">
        <v>49</v>
      </c>
      <c r="C17" s="72">
        <v>6</v>
      </c>
      <c r="D17" s="54">
        <v>6</v>
      </c>
      <c r="E17" s="54">
        <v>2</v>
      </c>
      <c r="F17" s="54">
        <f>2/(D17/12)</f>
        <v>4</v>
      </c>
      <c r="G17" s="55">
        <f>I4-T3/12-T3/12</f>
        <v>28.5</v>
      </c>
      <c r="H17" s="54"/>
      <c r="I17" s="54"/>
      <c r="J17" s="55"/>
      <c r="K17" s="70"/>
      <c r="L17" s="55">
        <f>SUM(G17:K20)</f>
        <v>28.5</v>
      </c>
      <c r="M17" s="55"/>
      <c r="N17" s="55"/>
      <c r="O17" s="55">
        <f>L17</f>
        <v>28.5</v>
      </c>
      <c r="P17" s="70">
        <v>0</v>
      </c>
      <c r="Q17" s="70">
        <f>(2*(C17/8/12))*P17</f>
        <v>0</v>
      </c>
      <c r="R17" s="55">
        <f>O17-Q17</f>
        <v>28.5</v>
      </c>
      <c r="S17" s="55">
        <f>(E17*F17*R17)</f>
        <v>228</v>
      </c>
      <c r="T17" s="55">
        <f>1.502/2.204</f>
        <v>0.68148820326678761</v>
      </c>
      <c r="U17" s="55">
        <f>(S17*T17)</f>
        <v>155.37931034482759</v>
      </c>
      <c r="V17" s="88">
        <f>G17</f>
        <v>28.5</v>
      </c>
      <c r="W17" s="89"/>
    </row>
    <row r="18" spans="1:23" s="38" customFormat="1" ht="22.05" customHeight="1" x14ac:dyDescent="0.3">
      <c r="A18" s="71"/>
      <c r="B18" s="73"/>
      <c r="C18" s="72"/>
      <c r="D18" s="54"/>
      <c r="E18" s="54"/>
      <c r="F18" s="54"/>
      <c r="G18" s="55"/>
      <c r="H18" s="54"/>
      <c r="I18" s="54"/>
      <c r="J18" s="55"/>
      <c r="K18" s="70"/>
      <c r="L18" s="55"/>
      <c r="M18" s="55"/>
      <c r="N18" s="55"/>
      <c r="O18" s="55"/>
      <c r="P18" s="70"/>
      <c r="Q18" s="70"/>
      <c r="R18" s="55"/>
      <c r="S18" s="55"/>
      <c r="T18" s="55"/>
      <c r="U18" s="55"/>
      <c r="V18" s="76"/>
      <c r="W18" s="77"/>
    </row>
    <row r="19" spans="1:23" s="38" customFormat="1" ht="22.5" customHeight="1" x14ac:dyDescent="0.3">
      <c r="A19" s="71"/>
      <c r="B19" s="73"/>
      <c r="C19" s="72"/>
      <c r="D19" s="54"/>
      <c r="E19" s="54"/>
      <c r="F19" s="54"/>
      <c r="G19" s="55"/>
      <c r="H19" s="54"/>
      <c r="I19" s="54"/>
      <c r="J19" s="55"/>
      <c r="K19" s="70"/>
      <c r="L19" s="55"/>
      <c r="M19" s="55"/>
      <c r="N19" s="55"/>
      <c r="O19" s="55"/>
      <c r="P19" s="70"/>
      <c r="Q19" s="70"/>
      <c r="R19" s="55"/>
      <c r="S19" s="55"/>
      <c r="T19" s="55"/>
      <c r="U19" s="55"/>
      <c r="V19" s="76"/>
      <c r="W19" s="77"/>
    </row>
    <row r="20" spans="1:23" s="38" customFormat="1" ht="16.8" x14ac:dyDescent="0.3">
      <c r="A20" s="71"/>
      <c r="B20" s="73"/>
      <c r="C20" s="72"/>
      <c r="D20" s="54"/>
      <c r="E20" s="54"/>
      <c r="F20" s="54"/>
      <c r="G20" s="55"/>
      <c r="H20" s="54"/>
      <c r="I20" s="54"/>
      <c r="J20" s="55"/>
      <c r="K20" s="70"/>
      <c r="L20" s="55"/>
      <c r="M20" s="55"/>
      <c r="N20" s="55"/>
      <c r="O20" s="55"/>
      <c r="P20" s="70"/>
      <c r="Q20" s="70"/>
      <c r="R20" s="55"/>
      <c r="S20" s="55"/>
      <c r="T20" s="55"/>
      <c r="U20" s="55"/>
      <c r="V20" s="74"/>
      <c r="W20" s="74"/>
    </row>
    <row r="21" spans="1:23" s="38" customFormat="1" ht="21.75" customHeight="1" x14ac:dyDescent="0.3">
      <c r="A21" s="71">
        <v>3</v>
      </c>
      <c r="B21" s="73" t="s">
        <v>23</v>
      </c>
      <c r="C21" s="72">
        <v>4</v>
      </c>
      <c r="D21" s="54">
        <v>4</v>
      </c>
      <c r="E21" s="54"/>
      <c r="F21" s="54">
        <f>ROUND((($I$4-0.5)/(D21/12))+1,0)</f>
        <v>87</v>
      </c>
      <c r="G21" s="55">
        <v>4.5</v>
      </c>
      <c r="H21" s="55">
        <v>3</v>
      </c>
      <c r="I21" s="55">
        <v>3</v>
      </c>
      <c r="J21" s="55">
        <v>4.5</v>
      </c>
      <c r="K21" s="55">
        <v>0.5</v>
      </c>
      <c r="L21" s="55">
        <f>SUM(G21:K25)</f>
        <v>15.5</v>
      </c>
      <c r="M21" s="90"/>
      <c r="N21" s="70"/>
      <c r="O21" s="55">
        <f>L21</f>
        <v>15.5</v>
      </c>
      <c r="P21" s="55">
        <f>3+2</f>
        <v>5</v>
      </c>
      <c r="Q21" s="55">
        <f>(2*(C21/8/12)*3)+(3*(C21/8/12)*2)</f>
        <v>0.5</v>
      </c>
      <c r="R21" s="55">
        <f>O21-Q21</f>
        <v>15</v>
      </c>
      <c r="S21" s="55">
        <f>(F21*R21)</f>
        <v>1305</v>
      </c>
      <c r="T21" s="91">
        <v>0.30299999999999999</v>
      </c>
      <c r="U21" s="55">
        <f>(S21*T21)</f>
        <v>395.41499999999996</v>
      </c>
      <c r="V21" s="74">
        <f>J21</f>
        <v>4.5</v>
      </c>
      <c r="W21" s="75"/>
    </row>
    <row r="22" spans="1:23" s="38" customFormat="1" ht="21.75" customHeight="1" x14ac:dyDescent="0.3">
      <c r="A22" s="71"/>
      <c r="B22" s="73"/>
      <c r="C22" s="72"/>
      <c r="D22" s="54"/>
      <c r="E22" s="54"/>
      <c r="F22" s="54"/>
      <c r="G22" s="55"/>
      <c r="H22" s="55"/>
      <c r="I22" s="55"/>
      <c r="J22" s="55"/>
      <c r="K22" s="55"/>
      <c r="L22" s="55"/>
      <c r="M22" s="90"/>
      <c r="N22" s="70"/>
      <c r="O22" s="55"/>
      <c r="P22" s="55"/>
      <c r="Q22" s="55"/>
      <c r="R22" s="55"/>
      <c r="S22" s="55"/>
      <c r="T22" s="91"/>
      <c r="U22" s="55"/>
      <c r="V22" s="88">
        <f>K21/2</f>
        <v>0.25</v>
      </c>
      <c r="W22" s="88"/>
    </row>
    <row r="23" spans="1:23" s="38" customFormat="1" ht="21.75" customHeight="1" x14ac:dyDescent="0.3">
      <c r="A23" s="71"/>
      <c r="B23" s="73"/>
      <c r="C23" s="72"/>
      <c r="D23" s="54"/>
      <c r="E23" s="54"/>
      <c r="F23" s="54"/>
      <c r="G23" s="55"/>
      <c r="H23" s="55"/>
      <c r="I23" s="55"/>
      <c r="J23" s="55"/>
      <c r="K23" s="55"/>
      <c r="L23" s="55"/>
      <c r="M23" s="90"/>
      <c r="N23" s="70"/>
      <c r="O23" s="55"/>
      <c r="P23" s="55"/>
      <c r="Q23" s="55"/>
      <c r="R23" s="55"/>
      <c r="S23" s="55"/>
      <c r="T23" s="91"/>
      <c r="U23" s="55"/>
      <c r="V23" s="92">
        <f>H21</f>
        <v>3</v>
      </c>
      <c r="W23" s="93">
        <f>I21</f>
        <v>3</v>
      </c>
    </row>
    <row r="24" spans="1:23" s="38" customFormat="1" ht="22.05" customHeight="1" x14ac:dyDescent="0.3">
      <c r="A24" s="71"/>
      <c r="B24" s="73"/>
      <c r="C24" s="72"/>
      <c r="D24" s="54"/>
      <c r="E24" s="54"/>
      <c r="F24" s="54"/>
      <c r="G24" s="55"/>
      <c r="H24" s="55"/>
      <c r="I24" s="55"/>
      <c r="J24" s="55"/>
      <c r="K24" s="55"/>
      <c r="L24" s="55"/>
      <c r="M24" s="90"/>
      <c r="N24" s="70"/>
      <c r="O24" s="55"/>
      <c r="P24" s="55"/>
      <c r="Q24" s="55"/>
      <c r="R24" s="55"/>
      <c r="S24" s="55"/>
      <c r="T24" s="91"/>
      <c r="U24" s="55"/>
      <c r="V24" s="94"/>
      <c r="W24" s="52"/>
    </row>
    <row r="25" spans="1:23" s="38" customFormat="1" ht="22.05" customHeight="1" x14ac:dyDescent="0.3">
      <c r="A25" s="71"/>
      <c r="B25" s="73"/>
      <c r="C25" s="72"/>
      <c r="D25" s="54"/>
      <c r="E25" s="54"/>
      <c r="F25" s="54"/>
      <c r="G25" s="55"/>
      <c r="H25" s="55"/>
      <c r="I25" s="55"/>
      <c r="J25" s="55"/>
      <c r="K25" s="55"/>
      <c r="L25" s="55"/>
      <c r="M25" s="90"/>
      <c r="N25" s="70"/>
      <c r="O25" s="55"/>
      <c r="P25" s="55"/>
      <c r="Q25" s="55"/>
      <c r="R25" s="55"/>
      <c r="S25" s="55"/>
      <c r="T25" s="91"/>
      <c r="U25" s="55"/>
      <c r="V25" s="74">
        <f>G21</f>
        <v>4.5</v>
      </c>
      <c r="W25" s="74"/>
    </row>
    <row r="26" spans="1:23" s="38" customFormat="1" ht="22.05" customHeight="1" x14ac:dyDescent="0.3">
      <c r="A26" s="71">
        <v>1</v>
      </c>
      <c r="B26" s="95" t="s">
        <v>36</v>
      </c>
      <c r="C26" s="72">
        <v>4</v>
      </c>
      <c r="D26" s="54">
        <v>6</v>
      </c>
      <c r="E26" s="54">
        <v>2</v>
      </c>
      <c r="F26" s="54">
        <f>ROUNDUP((4-($T$4/12))/(D26/12)+1,0)</f>
        <v>9</v>
      </c>
      <c r="G26" s="55">
        <f>29-2*($T$4/12)</f>
        <v>28.666666666666668</v>
      </c>
      <c r="H26" s="54"/>
      <c r="I26" s="54"/>
      <c r="J26" s="70"/>
      <c r="K26" s="70"/>
      <c r="L26" s="55">
        <f>SUM(G26:K28)</f>
        <v>28.666666666666668</v>
      </c>
      <c r="M26" s="55"/>
      <c r="N26" s="55"/>
      <c r="O26" s="55">
        <f>L26</f>
        <v>28.666666666666668</v>
      </c>
      <c r="P26" s="55"/>
      <c r="Q26" s="55"/>
      <c r="R26" s="55">
        <f>O26-Q26</f>
        <v>28.666666666666668</v>
      </c>
      <c r="S26" s="55">
        <f>(E26*F26*R26)</f>
        <v>516</v>
      </c>
      <c r="T26" s="55">
        <v>0.66800000000000004</v>
      </c>
      <c r="U26" s="55">
        <f>(S26*T26)/2.20462</f>
        <v>156.34803276755181</v>
      </c>
      <c r="V26" s="96"/>
      <c r="W26" s="97"/>
    </row>
    <row r="27" spans="1:23" s="38" customFormat="1" ht="22.05" customHeight="1" x14ac:dyDescent="0.3">
      <c r="A27" s="71"/>
      <c r="B27" s="95"/>
      <c r="C27" s="72"/>
      <c r="D27" s="54"/>
      <c r="E27" s="54"/>
      <c r="F27" s="54"/>
      <c r="G27" s="55"/>
      <c r="H27" s="54"/>
      <c r="I27" s="54"/>
      <c r="J27" s="70"/>
      <c r="K27" s="70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94"/>
      <c r="W27" s="94"/>
    </row>
    <row r="28" spans="1:23" s="38" customFormat="1" ht="22.05" customHeight="1" x14ac:dyDescent="0.3">
      <c r="A28" s="71"/>
      <c r="B28" s="95"/>
      <c r="C28" s="72"/>
      <c r="D28" s="54"/>
      <c r="E28" s="54"/>
      <c r="F28" s="54"/>
      <c r="G28" s="55"/>
      <c r="H28" s="54"/>
      <c r="I28" s="54"/>
      <c r="J28" s="70"/>
      <c r="K28" s="70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74">
        <f>G26</f>
        <v>28.666666666666668</v>
      </c>
      <c r="W28" s="75"/>
    </row>
    <row r="29" spans="1:23" s="38" customFormat="1" ht="22.05" customHeight="1" x14ac:dyDescent="0.3">
      <c r="A29" s="71">
        <v>2</v>
      </c>
      <c r="B29" s="98" t="s">
        <v>37</v>
      </c>
      <c r="C29" s="72">
        <v>4</v>
      </c>
      <c r="D29" s="54">
        <v>6</v>
      </c>
      <c r="E29" s="54">
        <v>2</v>
      </c>
      <c r="F29" s="54">
        <f>ROUNDUP((29-(2*$T$4/12))/(D29/12)+1,0)</f>
        <v>59</v>
      </c>
      <c r="G29" s="55"/>
      <c r="H29" s="54">
        <v>6.75</v>
      </c>
      <c r="I29" s="54">
        <v>0.75</v>
      </c>
      <c r="J29" s="70">
        <v>0.75</v>
      </c>
      <c r="K29" s="70"/>
      <c r="L29" s="55">
        <f>SUM(G29:K32)</f>
        <v>8.25</v>
      </c>
      <c r="M29" s="55"/>
      <c r="N29" s="55"/>
      <c r="O29" s="55">
        <f>L29</f>
        <v>8.25</v>
      </c>
      <c r="P29" s="55">
        <v>2</v>
      </c>
      <c r="Q29" s="55">
        <f>(2*(C29/8/12))*P29</f>
        <v>0.16666666666666666</v>
      </c>
      <c r="R29" s="55">
        <f>O29-Q29</f>
        <v>8.0833333333333339</v>
      </c>
      <c r="S29" s="55">
        <f>(E29*F29*R29)</f>
        <v>953.83333333333337</v>
      </c>
      <c r="T29" s="55">
        <v>0.66800000000000004</v>
      </c>
      <c r="U29" s="55">
        <f>(S29*T29)/2.20462</f>
        <v>289.0115605712852</v>
      </c>
      <c r="V29" s="96"/>
      <c r="W29" s="99">
        <f>I29</f>
        <v>0.75</v>
      </c>
    </row>
    <row r="30" spans="1:23" s="38" customFormat="1" ht="22.05" customHeight="1" x14ac:dyDescent="0.3">
      <c r="A30" s="71"/>
      <c r="B30" s="98"/>
      <c r="C30" s="72"/>
      <c r="D30" s="54"/>
      <c r="E30" s="54"/>
      <c r="F30" s="54"/>
      <c r="G30" s="55"/>
      <c r="H30" s="54"/>
      <c r="I30" s="54"/>
      <c r="J30" s="70"/>
      <c r="K30" s="70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77">
        <f>H29</f>
        <v>6.75</v>
      </c>
      <c r="W30" s="77"/>
    </row>
    <row r="31" spans="1:23" s="38" customFormat="1" ht="22.05" customHeight="1" x14ac:dyDescent="0.3">
      <c r="A31" s="71"/>
      <c r="B31" s="98"/>
      <c r="C31" s="72"/>
      <c r="D31" s="54"/>
      <c r="E31" s="54"/>
      <c r="F31" s="54"/>
      <c r="G31" s="55"/>
      <c r="H31" s="54"/>
      <c r="I31" s="54"/>
      <c r="J31" s="70"/>
      <c r="K31" s="70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77"/>
      <c r="W31" s="77"/>
    </row>
    <row r="32" spans="1:23" s="38" customFormat="1" ht="22.05" customHeight="1" x14ac:dyDescent="0.3">
      <c r="A32" s="71"/>
      <c r="B32" s="98"/>
      <c r="C32" s="72"/>
      <c r="D32" s="54"/>
      <c r="E32" s="54"/>
      <c r="F32" s="54"/>
      <c r="G32" s="55"/>
      <c r="H32" s="54"/>
      <c r="I32" s="54"/>
      <c r="J32" s="70"/>
      <c r="K32" s="70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100"/>
      <c r="W32" s="50">
        <f>J29</f>
        <v>0.75</v>
      </c>
    </row>
    <row r="33" spans="1:23" s="38" customFormat="1" ht="22.05" customHeight="1" x14ac:dyDescent="0.3">
      <c r="A33" s="71">
        <v>3</v>
      </c>
      <c r="B33" s="98" t="s">
        <v>39</v>
      </c>
      <c r="C33" s="72">
        <v>8</v>
      </c>
      <c r="D33" s="54" t="s">
        <v>16</v>
      </c>
      <c r="E33" s="54">
        <v>2</v>
      </c>
      <c r="F33" s="54">
        <v>10</v>
      </c>
      <c r="G33" s="55">
        <f>29-2*($T$4/12)</f>
        <v>28.666666666666668</v>
      </c>
      <c r="H33" s="54"/>
      <c r="I33" s="54"/>
      <c r="J33" s="70"/>
      <c r="K33" s="70"/>
      <c r="L33" s="55">
        <f>SUM(G33:K36)</f>
        <v>28.666666666666668</v>
      </c>
      <c r="M33" s="55"/>
      <c r="N33" s="55"/>
      <c r="O33" s="55">
        <f>L33</f>
        <v>28.666666666666668</v>
      </c>
      <c r="P33" s="55"/>
      <c r="Q33" s="55"/>
      <c r="R33" s="55">
        <f>O33-Q33</f>
        <v>28.666666666666668</v>
      </c>
      <c r="S33" s="55">
        <f>(E33*F33*R33)</f>
        <v>573.33333333333337</v>
      </c>
      <c r="T33" s="55">
        <v>2.67</v>
      </c>
      <c r="U33" s="55">
        <f>(S33*T33)/2.20462</f>
        <v>694.36002576407725</v>
      </c>
      <c r="V33" s="96"/>
      <c r="W33" s="97"/>
    </row>
    <row r="34" spans="1:23" s="38" customFormat="1" ht="22.05" customHeight="1" x14ac:dyDescent="0.3">
      <c r="A34" s="71"/>
      <c r="B34" s="98"/>
      <c r="C34" s="72"/>
      <c r="D34" s="54"/>
      <c r="E34" s="54"/>
      <c r="F34" s="54"/>
      <c r="G34" s="55"/>
      <c r="H34" s="54"/>
      <c r="I34" s="54"/>
      <c r="J34" s="70"/>
      <c r="K34" s="70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76"/>
      <c r="W34" s="77"/>
    </row>
    <row r="35" spans="1:23" s="38" customFormat="1" ht="22.05" customHeight="1" x14ac:dyDescent="0.3">
      <c r="A35" s="71"/>
      <c r="B35" s="98"/>
      <c r="C35" s="72"/>
      <c r="D35" s="54"/>
      <c r="E35" s="54"/>
      <c r="F35" s="54"/>
      <c r="G35" s="55"/>
      <c r="H35" s="54"/>
      <c r="I35" s="54"/>
      <c r="J35" s="70"/>
      <c r="K35" s="70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76"/>
      <c r="W35" s="77"/>
    </row>
    <row r="36" spans="1:23" s="38" customFormat="1" ht="22.05" customHeight="1" x14ac:dyDescent="0.3">
      <c r="A36" s="71"/>
      <c r="B36" s="98"/>
      <c r="C36" s="72"/>
      <c r="D36" s="54"/>
      <c r="E36" s="54"/>
      <c r="F36" s="54"/>
      <c r="G36" s="55"/>
      <c r="H36" s="54"/>
      <c r="I36" s="54"/>
      <c r="J36" s="70"/>
      <c r="K36" s="70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74">
        <f>G33</f>
        <v>28.666666666666668</v>
      </c>
      <c r="W36" s="74"/>
    </row>
    <row r="37" spans="1:23" s="38" customFormat="1" ht="22.05" customHeight="1" x14ac:dyDescent="0.3">
      <c r="A37" s="71">
        <v>4</v>
      </c>
      <c r="B37" s="98" t="s">
        <v>38</v>
      </c>
      <c r="C37" s="72">
        <v>8</v>
      </c>
      <c r="D37" s="54" t="s">
        <v>16</v>
      </c>
      <c r="E37" s="54">
        <v>2</v>
      </c>
      <c r="F37" s="54">
        <v>4</v>
      </c>
      <c r="G37" s="55">
        <f>29-2*($T$4/12)</f>
        <v>28.666666666666668</v>
      </c>
      <c r="H37" s="54"/>
      <c r="I37" s="54"/>
      <c r="J37" s="70"/>
      <c r="K37" s="70"/>
      <c r="L37" s="55">
        <f>SUM(G37:K40)</f>
        <v>28.666666666666668</v>
      </c>
      <c r="M37" s="55"/>
      <c r="N37" s="55"/>
      <c r="O37" s="55">
        <f>L37</f>
        <v>28.666666666666668</v>
      </c>
      <c r="P37" s="55"/>
      <c r="Q37" s="55"/>
      <c r="R37" s="55">
        <f>O37-Q37</f>
        <v>28.666666666666668</v>
      </c>
      <c r="S37" s="55">
        <f>(E37*F37*R37)</f>
        <v>229.33333333333334</v>
      </c>
      <c r="T37" s="55">
        <v>2.67</v>
      </c>
      <c r="U37" s="55">
        <f>(S37*T37)/2.20462</f>
        <v>277.74401030563092</v>
      </c>
      <c r="V37" s="96"/>
      <c r="W37" s="97"/>
    </row>
    <row r="38" spans="1:23" s="38" customFormat="1" ht="22.05" customHeight="1" x14ac:dyDescent="0.3">
      <c r="A38" s="71"/>
      <c r="B38" s="98"/>
      <c r="C38" s="72"/>
      <c r="D38" s="54"/>
      <c r="E38" s="54"/>
      <c r="F38" s="54"/>
      <c r="G38" s="55"/>
      <c r="H38" s="54"/>
      <c r="I38" s="54"/>
      <c r="J38" s="70"/>
      <c r="K38" s="70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76"/>
      <c r="W38" s="77"/>
    </row>
    <row r="39" spans="1:23" s="38" customFormat="1" ht="22.05" customHeight="1" x14ac:dyDescent="0.3">
      <c r="A39" s="71"/>
      <c r="B39" s="98"/>
      <c r="C39" s="72"/>
      <c r="D39" s="54"/>
      <c r="E39" s="54"/>
      <c r="F39" s="54"/>
      <c r="G39" s="55"/>
      <c r="H39" s="54"/>
      <c r="I39" s="54"/>
      <c r="J39" s="70"/>
      <c r="K39" s="70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76"/>
      <c r="W39" s="77"/>
    </row>
    <row r="40" spans="1:23" s="38" customFormat="1" ht="22.05" customHeight="1" x14ac:dyDescent="0.3">
      <c r="A40" s="71"/>
      <c r="B40" s="98"/>
      <c r="C40" s="72"/>
      <c r="D40" s="54"/>
      <c r="E40" s="54"/>
      <c r="F40" s="54"/>
      <c r="G40" s="55"/>
      <c r="H40" s="54"/>
      <c r="I40" s="54"/>
      <c r="J40" s="70"/>
      <c r="K40" s="70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74">
        <f>G37</f>
        <v>28.666666666666668</v>
      </c>
      <c r="W40" s="74"/>
    </row>
    <row r="41" spans="1:23" s="38" customFormat="1" ht="22.05" customHeight="1" x14ac:dyDescent="0.3">
      <c r="A41" s="71">
        <v>6</v>
      </c>
      <c r="B41" s="98" t="s">
        <v>40</v>
      </c>
      <c r="C41" s="72">
        <v>6</v>
      </c>
      <c r="D41" s="54">
        <v>6</v>
      </c>
      <c r="E41" s="54">
        <v>2</v>
      </c>
      <c r="F41" s="101">
        <f>ROUNDUP(1.5/(D41/12)+1,0)</f>
        <v>4</v>
      </c>
      <c r="G41" s="55">
        <f>29-2*($T$4/12)</f>
        <v>28.666666666666668</v>
      </c>
      <c r="H41" s="54"/>
      <c r="I41" s="54"/>
      <c r="J41" s="70"/>
      <c r="K41" s="70"/>
      <c r="L41" s="55">
        <f>SUM(G41:K44)</f>
        <v>28.666666666666668</v>
      </c>
      <c r="M41" s="55"/>
      <c r="N41" s="55"/>
      <c r="O41" s="55">
        <f>L41</f>
        <v>28.666666666666668</v>
      </c>
      <c r="P41" s="55"/>
      <c r="Q41" s="55"/>
      <c r="R41" s="55">
        <f>O41-Q41</f>
        <v>28.666666666666668</v>
      </c>
      <c r="S41" s="55">
        <f>(E41*F41*R41)</f>
        <v>229.33333333333334</v>
      </c>
      <c r="T41" s="55">
        <v>1.502</v>
      </c>
      <c r="U41" s="55">
        <f>(S41*T41)/2.20462</f>
        <v>156.24400879365456</v>
      </c>
      <c r="V41" s="96"/>
      <c r="W41" s="97"/>
    </row>
    <row r="42" spans="1:23" s="38" customFormat="1" ht="22.05" customHeight="1" x14ac:dyDescent="0.3">
      <c r="A42" s="71"/>
      <c r="B42" s="98"/>
      <c r="C42" s="72"/>
      <c r="D42" s="54"/>
      <c r="E42" s="54"/>
      <c r="F42" s="101"/>
      <c r="G42" s="55"/>
      <c r="H42" s="54"/>
      <c r="I42" s="54"/>
      <c r="J42" s="70"/>
      <c r="K42" s="70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76"/>
      <c r="W42" s="77"/>
    </row>
    <row r="43" spans="1:23" s="38" customFormat="1" ht="22.5" customHeight="1" x14ac:dyDescent="0.3">
      <c r="A43" s="71"/>
      <c r="B43" s="98"/>
      <c r="C43" s="72"/>
      <c r="D43" s="54"/>
      <c r="E43" s="54"/>
      <c r="F43" s="101"/>
      <c r="G43" s="55"/>
      <c r="H43" s="54"/>
      <c r="I43" s="54"/>
      <c r="J43" s="70"/>
      <c r="K43" s="70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76"/>
      <c r="W43" s="77"/>
    </row>
    <row r="44" spans="1:23" s="38" customFormat="1" ht="16.8" x14ac:dyDescent="0.3">
      <c r="A44" s="71"/>
      <c r="B44" s="98"/>
      <c r="C44" s="72"/>
      <c r="D44" s="54"/>
      <c r="E44" s="54"/>
      <c r="F44" s="101"/>
      <c r="G44" s="55"/>
      <c r="H44" s="54"/>
      <c r="I44" s="54"/>
      <c r="J44" s="70"/>
      <c r="K44" s="70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74">
        <f>G41</f>
        <v>28.666666666666668</v>
      </c>
      <c r="W44" s="74"/>
    </row>
    <row r="45" spans="1:23" s="38" customFormat="1" ht="21.75" customHeight="1" x14ac:dyDescent="0.3">
      <c r="A45" s="71">
        <v>10</v>
      </c>
      <c r="B45" s="73" t="s">
        <v>31</v>
      </c>
      <c r="C45" s="72">
        <v>4</v>
      </c>
      <c r="D45" s="54">
        <v>4</v>
      </c>
      <c r="E45" s="54">
        <v>2</v>
      </c>
      <c r="F45" s="54">
        <f>(ROUNDUP((($I$4-0.25)/(D45/12))+1,0))</f>
        <v>88</v>
      </c>
      <c r="G45" s="55">
        <v>1.75</v>
      </c>
      <c r="H45" s="55">
        <f>(((2+(8/12))-((1.5+1)/12))+((2+(9.75/12))-((1.5+1)/12)))/2</f>
        <v>2.53125</v>
      </c>
      <c r="I45" s="55">
        <f>(((2+(8/12))-((1.5+1)/12))+((2+(9.75/12))-((1.5+1)/12)))/2</f>
        <v>2.53125</v>
      </c>
      <c r="J45" s="55">
        <v>1.75</v>
      </c>
      <c r="K45" s="55">
        <f>(6*(C45/8/12))*2</f>
        <v>0.5</v>
      </c>
      <c r="L45" s="55">
        <f>SUM(G45:K49)</f>
        <v>9.0625</v>
      </c>
      <c r="M45" s="90"/>
      <c r="N45" s="70"/>
      <c r="O45" s="55">
        <f>L45</f>
        <v>9.0625</v>
      </c>
      <c r="P45" s="55">
        <f>3+2</f>
        <v>5</v>
      </c>
      <c r="Q45" s="55">
        <f>(2*(C45/8/12)*3)+(3*(C45/8/12)*2)</f>
        <v>0.5</v>
      </c>
      <c r="R45" s="55">
        <f>O45-Q45</f>
        <v>8.5625</v>
      </c>
      <c r="S45" s="55">
        <f>(E45*F45*R45)</f>
        <v>1507</v>
      </c>
      <c r="T45" s="91">
        <v>0.66800000000000004</v>
      </c>
      <c r="U45" s="55">
        <f>(S45*0.668)/2.20462</f>
        <v>456.62109569903208</v>
      </c>
      <c r="V45" s="74">
        <f>J45</f>
        <v>1.75</v>
      </c>
      <c r="W45" s="75"/>
    </row>
    <row r="46" spans="1:23" s="38" customFormat="1" ht="21.75" customHeight="1" x14ac:dyDescent="0.3">
      <c r="A46" s="71"/>
      <c r="B46" s="73"/>
      <c r="C46" s="72"/>
      <c r="D46" s="54"/>
      <c r="E46" s="54"/>
      <c r="F46" s="54"/>
      <c r="G46" s="55"/>
      <c r="H46" s="55"/>
      <c r="I46" s="55"/>
      <c r="J46" s="55"/>
      <c r="K46" s="55"/>
      <c r="L46" s="55"/>
      <c r="M46" s="90"/>
      <c r="N46" s="70"/>
      <c r="O46" s="55"/>
      <c r="P46" s="55"/>
      <c r="Q46" s="55"/>
      <c r="R46" s="55"/>
      <c r="S46" s="55"/>
      <c r="T46" s="91"/>
      <c r="U46" s="55"/>
      <c r="V46" s="102">
        <v>0.25</v>
      </c>
      <c r="W46" s="99"/>
    </row>
    <row r="47" spans="1:23" s="38" customFormat="1" ht="21.75" customHeight="1" x14ac:dyDescent="0.3">
      <c r="A47" s="71"/>
      <c r="B47" s="73"/>
      <c r="C47" s="72"/>
      <c r="D47" s="54"/>
      <c r="E47" s="54"/>
      <c r="F47" s="54"/>
      <c r="G47" s="55"/>
      <c r="H47" s="55"/>
      <c r="I47" s="55"/>
      <c r="J47" s="55"/>
      <c r="K47" s="55"/>
      <c r="L47" s="55"/>
      <c r="M47" s="90"/>
      <c r="N47" s="70"/>
      <c r="O47" s="55"/>
      <c r="P47" s="55"/>
      <c r="Q47" s="55"/>
      <c r="R47" s="55"/>
      <c r="S47" s="55"/>
      <c r="T47" s="91"/>
      <c r="U47" s="55"/>
      <c r="V47" s="92">
        <f>H45</f>
        <v>2.53125</v>
      </c>
      <c r="W47" s="93">
        <f>I45</f>
        <v>2.53125</v>
      </c>
    </row>
    <row r="48" spans="1:23" s="38" customFormat="1" ht="22.05" customHeight="1" x14ac:dyDescent="0.3">
      <c r="A48" s="71"/>
      <c r="B48" s="73"/>
      <c r="C48" s="72"/>
      <c r="D48" s="54"/>
      <c r="E48" s="54"/>
      <c r="F48" s="54"/>
      <c r="G48" s="55"/>
      <c r="H48" s="55"/>
      <c r="I48" s="55"/>
      <c r="J48" s="55"/>
      <c r="K48" s="55"/>
      <c r="L48" s="55"/>
      <c r="M48" s="90"/>
      <c r="N48" s="70"/>
      <c r="O48" s="55"/>
      <c r="P48" s="55"/>
      <c r="Q48" s="55"/>
      <c r="R48" s="55"/>
      <c r="S48" s="55"/>
      <c r="T48" s="91"/>
      <c r="U48" s="55"/>
      <c r="V48" s="94" t="s">
        <v>30</v>
      </c>
      <c r="W48" s="52" t="s">
        <v>30</v>
      </c>
    </row>
    <row r="49" spans="1:23" s="38" customFormat="1" ht="22.05" customHeight="1" x14ac:dyDescent="0.3">
      <c r="A49" s="71"/>
      <c r="B49" s="73"/>
      <c r="C49" s="72"/>
      <c r="D49" s="54"/>
      <c r="E49" s="54"/>
      <c r="F49" s="54"/>
      <c r="G49" s="55"/>
      <c r="H49" s="55"/>
      <c r="I49" s="55"/>
      <c r="J49" s="55"/>
      <c r="K49" s="55"/>
      <c r="L49" s="55"/>
      <c r="M49" s="90"/>
      <c r="N49" s="70"/>
      <c r="O49" s="55"/>
      <c r="P49" s="55"/>
      <c r="Q49" s="55"/>
      <c r="R49" s="55"/>
      <c r="S49" s="55"/>
      <c r="T49" s="91"/>
      <c r="U49" s="55"/>
      <c r="V49" s="74">
        <f>G45</f>
        <v>1.75</v>
      </c>
      <c r="W49" s="74"/>
    </row>
    <row r="50" spans="1:23" s="38" customFormat="1" ht="22.05" customHeight="1" x14ac:dyDescent="0.3">
      <c r="A50" s="71">
        <v>11</v>
      </c>
      <c r="B50" s="73" t="s">
        <v>33</v>
      </c>
      <c r="C50" s="72">
        <v>4</v>
      </c>
      <c r="D50" s="54">
        <v>4</v>
      </c>
      <c r="E50" s="54"/>
      <c r="F50" s="54">
        <v>145</v>
      </c>
      <c r="G50" s="55"/>
      <c r="H50" s="54"/>
      <c r="I50" s="54"/>
      <c r="J50" s="55">
        <v>3</v>
      </c>
      <c r="K50" s="55">
        <f>(6*(C50/8/12))*2</f>
        <v>0.5</v>
      </c>
      <c r="L50" s="55">
        <f>SUM(G50:K53)</f>
        <v>3.5</v>
      </c>
      <c r="M50" s="55"/>
      <c r="N50" s="55"/>
      <c r="O50" s="55">
        <f>L50</f>
        <v>3.5</v>
      </c>
      <c r="P50" s="55">
        <v>2</v>
      </c>
      <c r="Q50" s="55">
        <f>(3*(C50/8/12))*P50</f>
        <v>0.25</v>
      </c>
      <c r="R50" s="55">
        <f>O50-Q50</f>
        <v>3.25</v>
      </c>
      <c r="S50" s="55">
        <f>(F50*R50)</f>
        <v>471.25</v>
      </c>
      <c r="T50" s="55">
        <v>0.66800000000000004</v>
      </c>
      <c r="U50" s="55">
        <f>(S50*0.668)/2.20462</f>
        <v>142.78877992579223</v>
      </c>
      <c r="V50" s="74">
        <f>J50</f>
        <v>3</v>
      </c>
      <c r="W50" s="75"/>
    </row>
    <row r="51" spans="1:23" s="38" customFormat="1" ht="22.05" customHeight="1" x14ac:dyDescent="0.3">
      <c r="A51" s="71"/>
      <c r="B51" s="73"/>
      <c r="C51" s="72"/>
      <c r="D51" s="54"/>
      <c r="E51" s="54"/>
      <c r="F51" s="54"/>
      <c r="G51" s="55"/>
      <c r="H51" s="54"/>
      <c r="I51" s="54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76">
        <v>0.25</v>
      </c>
      <c r="W51" s="77">
        <v>0.25</v>
      </c>
    </row>
    <row r="52" spans="1:23" s="38" customFormat="1" ht="22.5" customHeight="1" x14ac:dyDescent="0.3">
      <c r="A52" s="71"/>
      <c r="B52" s="73"/>
      <c r="C52" s="72"/>
      <c r="D52" s="54"/>
      <c r="E52" s="54"/>
      <c r="F52" s="54"/>
      <c r="G52" s="55"/>
      <c r="H52" s="54"/>
      <c r="I52" s="54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76"/>
      <c r="W52" s="77"/>
    </row>
    <row r="53" spans="1:23" s="38" customFormat="1" ht="16.8" x14ac:dyDescent="0.3">
      <c r="A53" s="71"/>
      <c r="B53" s="73"/>
      <c r="C53" s="72"/>
      <c r="D53" s="54"/>
      <c r="E53" s="54"/>
      <c r="F53" s="54"/>
      <c r="G53" s="55"/>
      <c r="H53" s="54"/>
      <c r="I53" s="54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74"/>
      <c r="W53" s="74"/>
    </row>
    <row r="54" spans="1:23" s="38" customFormat="1" ht="21.75" customHeight="1" x14ac:dyDescent="0.3">
      <c r="A54" s="71">
        <v>12</v>
      </c>
      <c r="B54" s="73" t="s">
        <v>32</v>
      </c>
      <c r="C54" s="72">
        <v>8</v>
      </c>
      <c r="D54" s="54"/>
      <c r="E54" s="54">
        <v>2</v>
      </c>
      <c r="F54" s="54">
        <v>3</v>
      </c>
      <c r="G54" s="55">
        <v>1.167</v>
      </c>
      <c r="H54" s="55">
        <v>2.25</v>
      </c>
      <c r="I54" s="55">
        <v>2.25</v>
      </c>
      <c r="J54" s="55">
        <f>4.75/12</f>
        <v>0.39583333333333331</v>
      </c>
      <c r="K54" s="55">
        <v>1.167</v>
      </c>
      <c r="L54" s="55">
        <f>SUM(G54:K58)</f>
        <v>7.2298333333333327</v>
      </c>
      <c r="M54" s="90"/>
      <c r="N54" s="70"/>
      <c r="O54" s="55">
        <f>L54</f>
        <v>7.2298333333333327</v>
      </c>
      <c r="P54" s="55">
        <f>4</f>
        <v>4</v>
      </c>
      <c r="Q54" s="55">
        <f>(2*(C54/8/12)*2)+(4*(C54/8/12)*1)</f>
        <v>0.66666666666666663</v>
      </c>
      <c r="R54" s="55">
        <f>O54-Q54</f>
        <v>6.5631666666666657</v>
      </c>
      <c r="S54" s="55">
        <f>(E54*F54*R54)</f>
        <v>39.378999999999991</v>
      </c>
      <c r="T54" s="91">
        <v>2.67</v>
      </c>
      <c r="U54" s="55">
        <f>(S54*2.67)/2.20462</f>
        <v>47.691633932378359</v>
      </c>
      <c r="V54" s="74">
        <f>J54</f>
        <v>0.39583333333333331</v>
      </c>
      <c r="W54" s="75"/>
    </row>
    <row r="55" spans="1:23" s="38" customFormat="1" ht="21.75" customHeight="1" x14ac:dyDescent="0.3">
      <c r="A55" s="71"/>
      <c r="B55" s="73"/>
      <c r="C55" s="72"/>
      <c r="D55" s="54"/>
      <c r="E55" s="54"/>
      <c r="F55" s="54"/>
      <c r="G55" s="55"/>
      <c r="H55" s="55"/>
      <c r="I55" s="55"/>
      <c r="J55" s="55"/>
      <c r="K55" s="55"/>
      <c r="L55" s="55"/>
      <c r="M55" s="90"/>
      <c r="N55" s="70"/>
      <c r="O55" s="55"/>
      <c r="P55" s="55"/>
      <c r="Q55" s="55"/>
      <c r="R55" s="55"/>
      <c r="S55" s="55"/>
      <c r="T55" s="91"/>
      <c r="U55" s="55"/>
      <c r="V55" s="102"/>
      <c r="W55" s="99"/>
    </row>
    <row r="56" spans="1:23" s="38" customFormat="1" ht="21.75" customHeight="1" x14ac:dyDescent="0.3">
      <c r="A56" s="71"/>
      <c r="B56" s="73"/>
      <c r="C56" s="72"/>
      <c r="D56" s="54"/>
      <c r="E56" s="54"/>
      <c r="F56" s="54"/>
      <c r="G56" s="55"/>
      <c r="H56" s="55"/>
      <c r="I56" s="55"/>
      <c r="J56" s="55"/>
      <c r="K56" s="55"/>
      <c r="L56" s="55"/>
      <c r="M56" s="90"/>
      <c r="N56" s="70"/>
      <c r="O56" s="55"/>
      <c r="P56" s="55"/>
      <c r="Q56" s="55"/>
      <c r="R56" s="55"/>
      <c r="S56" s="55"/>
      <c r="T56" s="91"/>
      <c r="U56" s="55"/>
      <c r="V56" s="92">
        <f>H54</f>
        <v>2.25</v>
      </c>
      <c r="W56" s="93">
        <f>I54</f>
        <v>2.25</v>
      </c>
    </row>
    <row r="57" spans="1:23" s="38" customFormat="1" ht="22.05" customHeight="1" x14ac:dyDescent="0.3">
      <c r="A57" s="71"/>
      <c r="B57" s="73"/>
      <c r="C57" s="72"/>
      <c r="D57" s="54"/>
      <c r="E57" s="54"/>
      <c r="F57" s="54"/>
      <c r="G57" s="55"/>
      <c r="H57" s="55"/>
      <c r="I57" s="55"/>
      <c r="J57" s="55"/>
      <c r="K57" s="55"/>
      <c r="L57" s="55"/>
      <c r="M57" s="90"/>
      <c r="N57" s="70"/>
      <c r="O57" s="55"/>
      <c r="P57" s="55"/>
      <c r="Q57" s="55"/>
      <c r="R57" s="55"/>
      <c r="S57" s="55"/>
      <c r="T57" s="91"/>
      <c r="U57" s="55"/>
      <c r="V57" s="94"/>
      <c r="W57" s="52"/>
    </row>
    <row r="58" spans="1:23" s="38" customFormat="1" ht="22.05" customHeight="1" x14ac:dyDescent="0.3">
      <c r="A58" s="71"/>
      <c r="B58" s="73"/>
      <c r="C58" s="72"/>
      <c r="D58" s="54"/>
      <c r="E58" s="54"/>
      <c r="F58" s="54"/>
      <c r="G58" s="55"/>
      <c r="H58" s="55"/>
      <c r="I58" s="55"/>
      <c r="J58" s="55"/>
      <c r="K58" s="55"/>
      <c r="L58" s="55"/>
      <c r="M58" s="90"/>
      <c r="N58" s="70"/>
      <c r="O58" s="55"/>
      <c r="P58" s="55"/>
      <c r="Q58" s="55"/>
      <c r="R58" s="55"/>
      <c r="S58" s="55"/>
      <c r="T58" s="91"/>
      <c r="U58" s="55"/>
      <c r="V58" s="50">
        <f>G54</f>
        <v>1.167</v>
      </c>
      <c r="W58" s="50">
        <f>K54</f>
        <v>1.167</v>
      </c>
    </row>
    <row r="59" spans="1:23" s="38" customFormat="1" ht="22.05" customHeight="1" x14ac:dyDescent="0.3">
      <c r="A59" s="71">
        <v>13</v>
      </c>
      <c r="B59" s="73" t="s">
        <v>32</v>
      </c>
      <c r="C59" s="72">
        <v>8</v>
      </c>
      <c r="D59" s="54" t="s">
        <v>16</v>
      </c>
      <c r="E59" s="54">
        <v>2</v>
      </c>
      <c r="F59" s="54">
        <v>2</v>
      </c>
      <c r="G59" s="55">
        <v>3</v>
      </c>
      <c r="H59" s="54"/>
      <c r="I59" s="54"/>
      <c r="J59" s="70"/>
      <c r="K59" s="70"/>
      <c r="L59" s="55">
        <f>SUM(G59:K62)</f>
        <v>3</v>
      </c>
      <c r="M59" s="55"/>
      <c r="N59" s="55"/>
      <c r="O59" s="55">
        <f>L59</f>
        <v>3</v>
      </c>
      <c r="P59" s="54"/>
      <c r="Q59" s="55"/>
      <c r="R59" s="55">
        <f>O59-Q59</f>
        <v>3</v>
      </c>
      <c r="S59" s="55">
        <f>(E59*F59*R59)</f>
        <v>12</v>
      </c>
      <c r="T59" s="55">
        <v>2.67</v>
      </c>
      <c r="U59" s="55">
        <f>(S59*2.67)/2.20462</f>
        <v>14.533116818317897</v>
      </c>
      <c r="V59" s="96"/>
      <c r="W59" s="97"/>
    </row>
    <row r="60" spans="1:23" s="38" customFormat="1" ht="22.05" customHeight="1" x14ac:dyDescent="0.3">
      <c r="A60" s="71"/>
      <c r="B60" s="73"/>
      <c r="C60" s="72"/>
      <c r="D60" s="54"/>
      <c r="E60" s="54"/>
      <c r="F60" s="54"/>
      <c r="G60" s="55"/>
      <c r="H60" s="54"/>
      <c r="I60" s="54"/>
      <c r="J60" s="70"/>
      <c r="K60" s="70"/>
      <c r="L60" s="55"/>
      <c r="M60" s="55"/>
      <c r="N60" s="55"/>
      <c r="O60" s="55"/>
      <c r="P60" s="54"/>
      <c r="Q60" s="55"/>
      <c r="R60" s="55"/>
      <c r="S60" s="55"/>
      <c r="T60" s="55"/>
      <c r="U60" s="55"/>
      <c r="V60" s="76"/>
      <c r="W60" s="77"/>
    </row>
    <row r="61" spans="1:23" s="38" customFormat="1" ht="16.8" x14ac:dyDescent="0.3">
      <c r="A61" s="71"/>
      <c r="B61" s="73"/>
      <c r="C61" s="72"/>
      <c r="D61" s="54"/>
      <c r="E61" s="54"/>
      <c r="F61" s="54"/>
      <c r="G61" s="55"/>
      <c r="H61" s="54"/>
      <c r="I61" s="54"/>
      <c r="J61" s="70"/>
      <c r="K61" s="70"/>
      <c r="L61" s="55"/>
      <c r="M61" s="55"/>
      <c r="N61" s="55"/>
      <c r="O61" s="55"/>
      <c r="P61" s="54"/>
      <c r="Q61" s="55"/>
      <c r="R61" s="55"/>
      <c r="S61" s="55"/>
      <c r="T61" s="55"/>
      <c r="U61" s="55"/>
      <c r="V61" s="76"/>
      <c r="W61" s="77"/>
    </row>
    <row r="62" spans="1:23" s="38" customFormat="1" ht="16.8" x14ac:dyDescent="0.3">
      <c r="A62" s="71"/>
      <c r="B62" s="73"/>
      <c r="C62" s="72"/>
      <c r="D62" s="54"/>
      <c r="E62" s="54"/>
      <c r="F62" s="54"/>
      <c r="G62" s="55"/>
      <c r="H62" s="54"/>
      <c r="I62" s="54"/>
      <c r="J62" s="70"/>
      <c r="K62" s="70"/>
      <c r="L62" s="55"/>
      <c r="M62" s="55"/>
      <c r="N62" s="55"/>
      <c r="O62" s="55"/>
      <c r="P62" s="54"/>
      <c r="Q62" s="55"/>
      <c r="R62" s="55"/>
      <c r="S62" s="55"/>
      <c r="T62" s="55"/>
      <c r="U62" s="55"/>
      <c r="V62" s="74">
        <f>G59</f>
        <v>3</v>
      </c>
      <c r="W62" s="74"/>
    </row>
    <row r="63" spans="1:23" s="38" customFormat="1" ht="16.8" x14ac:dyDescent="0.3">
      <c r="A63" s="78"/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24"/>
      <c r="Q63" s="25"/>
      <c r="R63" s="25"/>
      <c r="S63" s="25" t="s">
        <v>25</v>
      </c>
      <c r="T63" s="25"/>
      <c r="U63" s="26">
        <f>SUM(U26:U62)</f>
        <v>2235.3422645777205</v>
      </c>
      <c r="V63" s="27" t="s">
        <v>26</v>
      </c>
      <c r="W63" s="28"/>
    </row>
    <row r="64" spans="1:23" s="38" customFormat="1" ht="16.8" x14ac:dyDescent="0.3">
      <c r="A64" s="78"/>
      <c r="B64" s="79"/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4"/>
      <c r="Q64" s="25"/>
      <c r="R64" s="25"/>
      <c r="S64" s="25" t="s">
        <v>24</v>
      </c>
      <c r="T64" s="29"/>
      <c r="U64" s="30">
        <f>(U63/1000)</f>
        <v>2.2353422645777203</v>
      </c>
      <c r="V64" s="27" t="s">
        <v>27</v>
      </c>
      <c r="W64" s="28"/>
    </row>
    <row r="65" spans="1:23" s="38" customFormat="1" ht="16.8" x14ac:dyDescent="0.3">
      <c r="A65" s="31"/>
      <c r="B65" s="31"/>
      <c r="C65" s="31"/>
      <c r="D65" s="31"/>
      <c r="E65" s="31"/>
      <c r="F65" s="31"/>
      <c r="G65" s="32"/>
      <c r="H65" s="33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4"/>
      <c r="U65" s="35"/>
      <c r="V65" s="36"/>
      <c r="W65" s="37"/>
    </row>
    <row r="66" spans="1:23" s="38" customFormat="1" ht="16.8" x14ac:dyDescent="0.3">
      <c r="A66" s="31"/>
      <c r="B66" s="31"/>
      <c r="C66" s="31"/>
      <c r="D66" s="31"/>
      <c r="E66" s="31"/>
      <c r="F66" s="31"/>
      <c r="G66" s="32"/>
      <c r="H66" s="33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4"/>
      <c r="U66" s="35"/>
      <c r="V66" s="36"/>
      <c r="W66" s="37"/>
    </row>
    <row r="67" spans="1:23" s="38" customFormat="1" ht="16.8" x14ac:dyDescent="0.3">
      <c r="A67" s="31"/>
      <c r="B67" s="31"/>
      <c r="C67" s="31"/>
      <c r="D67" s="31"/>
      <c r="E67" s="31"/>
      <c r="F67" s="31"/>
      <c r="G67" s="32"/>
      <c r="H67" s="33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4"/>
      <c r="U67" s="35"/>
      <c r="V67" s="36"/>
      <c r="W67" s="37"/>
    </row>
    <row r="68" spans="1:23" s="38" customFormat="1" ht="16.8" x14ac:dyDescent="0.3">
      <c r="A68" s="31"/>
      <c r="B68" s="31"/>
      <c r="C68" s="31"/>
      <c r="D68" s="31"/>
      <c r="E68" s="31"/>
      <c r="F68" s="31"/>
      <c r="G68" s="32"/>
      <c r="H68" s="33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4"/>
      <c r="U68" s="35"/>
    </row>
    <row r="69" spans="1:23" s="38" customFormat="1" ht="16.8" x14ac:dyDescent="0.3">
      <c r="A69" s="31"/>
      <c r="B69" s="31"/>
      <c r="C69" s="31"/>
      <c r="D69" s="31"/>
      <c r="E69" s="31"/>
      <c r="F69" s="31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4"/>
      <c r="U69" s="35"/>
      <c r="V69" s="40"/>
      <c r="W69" s="40"/>
    </row>
    <row r="70" spans="1:23" ht="16.8" x14ac:dyDescent="0.3">
      <c r="A70" s="41"/>
      <c r="B70" s="42"/>
      <c r="C70" s="31"/>
      <c r="D70" s="31"/>
      <c r="E70" s="31"/>
      <c r="F70" s="31"/>
      <c r="G70" s="43"/>
      <c r="H70" s="44"/>
      <c r="I70" s="44"/>
      <c r="J70" s="45"/>
      <c r="K70" s="44"/>
      <c r="L70" s="44"/>
      <c r="M70" s="44"/>
      <c r="N70" s="44"/>
      <c r="O70" s="38"/>
      <c r="P70" s="38"/>
      <c r="Q70" s="45"/>
      <c r="R70" s="46"/>
      <c r="S70" s="44"/>
      <c r="T70" s="47"/>
      <c r="U70" s="45"/>
      <c r="V70" s="45"/>
      <c r="W70" s="41"/>
    </row>
    <row r="71" spans="1:23" ht="16.8" x14ac:dyDescent="0.3">
      <c r="A71" s="41"/>
      <c r="B71" s="48"/>
      <c r="C71" s="31"/>
      <c r="D71" s="31"/>
      <c r="E71" s="31"/>
      <c r="F71" s="31"/>
      <c r="G71" s="43"/>
      <c r="H71" s="44"/>
      <c r="I71" s="44"/>
      <c r="J71" s="49"/>
      <c r="K71" s="44"/>
      <c r="L71" s="44"/>
      <c r="M71" s="44"/>
      <c r="N71" s="44"/>
      <c r="O71" s="38"/>
      <c r="P71" s="38"/>
      <c r="Q71" s="49"/>
      <c r="R71" s="49"/>
      <c r="S71" s="44"/>
      <c r="T71" s="47"/>
      <c r="U71" s="35"/>
      <c r="V71" s="35"/>
      <c r="W71" s="41"/>
    </row>
    <row r="72" spans="1:23" ht="18" x14ac:dyDescent="0.35">
      <c r="A72" s="8"/>
      <c r="B72" s="8"/>
      <c r="C72" s="8"/>
      <c r="D72" s="8"/>
      <c r="E72" s="8"/>
      <c r="F72" s="8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</row>
    <row r="82" spans="15:16" x14ac:dyDescent="0.25">
      <c r="O82" s="23"/>
      <c r="P82" s="23"/>
    </row>
    <row r="83" spans="15:16" x14ac:dyDescent="0.25">
      <c r="O83" s="23"/>
      <c r="P83" s="23"/>
    </row>
    <row r="85" spans="15:16" x14ac:dyDescent="0.25">
      <c r="O85" s="23"/>
      <c r="P85" s="23"/>
    </row>
  </sheetData>
  <mergeCells count="368">
    <mergeCell ref="A63:O63"/>
    <mergeCell ref="A64:O64"/>
    <mergeCell ref="S59:S62"/>
    <mergeCell ref="T59:T62"/>
    <mergeCell ref="U59:U62"/>
    <mergeCell ref="V60:V61"/>
    <mergeCell ref="W60:W61"/>
    <mergeCell ref="V62:W62"/>
    <mergeCell ref="M59:M62"/>
    <mergeCell ref="N59:N62"/>
    <mergeCell ref="O59:O62"/>
    <mergeCell ref="P59:P62"/>
    <mergeCell ref="Q59:Q62"/>
    <mergeCell ref="R59:R62"/>
    <mergeCell ref="G59:G62"/>
    <mergeCell ref="H59:H62"/>
    <mergeCell ref="I59:I62"/>
    <mergeCell ref="J59:J62"/>
    <mergeCell ref="K59:K62"/>
    <mergeCell ref="L59:L62"/>
    <mergeCell ref="P54:P58"/>
    <mergeCell ref="Q54:Q58"/>
    <mergeCell ref="R54:R58"/>
    <mergeCell ref="G54:G58"/>
    <mergeCell ref="H54:H58"/>
    <mergeCell ref="I54:I58"/>
    <mergeCell ref="J54:J58"/>
    <mergeCell ref="K54:K58"/>
    <mergeCell ref="L54:L58"/>
    <mergeCell ref="A59:A62"/>
    <mergeCell ref="B59:B62"/>
    <mergeCell ref="C59:C62"/>
    <mergeCell ref="D59:D62"/>
    <mergeCell ref="E59:E62"/>
    <mergeCell ref="F59:F62"/>
    <mergeCell ref="M54:M58"/>
    <mergeCell ref="N54:N58"/>
    <mergeCell ref="O54:O58"/>
    <mergeCell ref="A54:A58"/>
    <mergeCell ref="B54:B58"/>
    <mergeCell ref="C54:C58"/>
    <mergeCell ref="D54:D58"/>
    <mergeCell ref="E54:E58"/>
    <mergeCell ref="F54:F58"/>
    <mergeCell ref="S50:S53"/>
    <mergeCell ref="T50:T53"/>
    <mergeCell ref="U50:U53"/>
    <mergeCell ref="V50:W50"/>
    <mergeCell ref="V51:V52"/>
    <mergeCell ref="W51:W52"/>
    <mergeCell ref="V53:W53"/>
    <mergeCell ref="M50:M53"/>
    <mergeCell ref="N50:N53"/>
    <mergeCell ref="O50:O53"/>
    <mergeCell ref="P50:P53"/>
    <mergeCell ref="Q50:Q53"/>
    <mergeCell ref="R50:R53"/>
    <mergeCell ref="G50:G53"/>
    <mergeCell ref="H50:H53"/>
    <mergeCell ref="I50:I53"/>
    <mergeCell ref="J50:J53"/>
    <mergeCell ref="K50:K53"/>
    <mergeCell ref="L50:L53"/>
    <mergeCell ref="S54:S58"/>
    <mergeCell ref="T54:T58"/>
    <mergeCell ref="U54:U58"/>
    <mergeCell ref="V54:W54"/>
    <mergeCell ref="V45:W45"/>
    <mergeCell ref="V49:W49"/>
    <mergeCell ref="L45:L49"/>
    <mergeCell ref="M45:M49"/>
    <mergeCell ref="N45:N49"/>
    <mergeCell ref="O45:O49"/>
    <mergeCell ref="P45:P49"/>
    <mergeCell ref="Q45:Q49"/>
    <mergeCell ref="A50:A53"/>
    <mergeCell ref="B50:B53"/>
    <mergeCell ref="C50:C53"/>
    <mergeCell ref="D50:D53"/>
    <mergeCell ref="E50:E53"/>
    <mergeCell ref="F50:F53"/>
    <mergeCell ref="R45:R49"/>
    <mergeCell ref="S45:S49"/>
    <mergeCell ref="T45:T49"/>
    <mergeCell ref="F45:F49"/>
    <mergeCell ref="G45:G49"/>
    <mergeCell ref="H45:H49"/>
    <mergeCell ref="I45:I49"/>
    <mergeCell ref="J45:J49"/>
    <mergeCell ref="K45:K49"/>
    <mergeCell ref="T21:T25"/>
    <mergeCell ref="U21:U25"/>
    <mergeCell ref="V21:W21"/>
    <mergeCell ref="V25:W25"/>
    <mergeCell ref="A45:A49"/>
    <mergeCell ref="B45:B49"/>
    <mergeCell ref="C45:C49"/>
    <mergeCell ref="D45:D49"/>
    <mergeCell ref="E45:E49"/>
    <mergeCell ref="M21:M25"/>
    <mergeCell ref="N21:N25"/>
    <mergeCell ref="O21:O25"/>
    <mergeCell ref="P21:P25"/>
    <mergeCell ref="Q21:Q25"/>
    <mergeCell ref="R21:R25"/>
    <mergeCell ref="G21:G25"/>
    <mergeCell ref="H21:H25"/>
    <mergeCell ref="I21:I25"/>
    <mergeCell ref="J21:J25"/>
    <mergeCell ref="K21:K25"/>
    <mergeCell ref="L21:L25"/>
    <mergeCell ref="A21:A25"/>
    <mergeCell ref="B21:B25"/>
    <mergeCell ref="U45:U49"/>
    <mergeCell ref="C21:C25"/>
    <mergeCell ref="D21:D25"/>
    <mergeCell ref="E21:E25"/>
    <mergeCell ref="F21:F25"/>
    <mergeCell ref="S17:S20"/>
    <mergeCell ref="T17:T20"/>
    <mergeCell ref="U17:U20"/>
    <mergeCell ref="V17:W17"/>
    <mergeCell ref="V18:V19"/>
    <mergeCell ref="W18:W19"/>
    <mergeCell ref="V20:W20"/>
    <mergeCell ref="M17:M20"/>
    <mergeCell ref="N17:N20"/>
    <mergeCell ref="O17:O20"/>
    <mergeCell ref="P17:P20"/>
    <mergeCell ref="Q17:Q20"/>
    <mergeCell ref="R17:R20"/>
    <mergeCell ref="G17:G20"/>
    <mergeCell ref="H17:H20"/>
    <mergeCell ref="I17:I20"/>
    <mergeCell ref="J17:J20"/>
    <mergeCell ref="K17:K20"/>
    <mergeCell ref="L17:L20"/>
    <mergeCell ref="S21:S25"/>
    <mergeCell ref="U9:U10"/>
    <mergeCell ref="G9:G10"/>
    <mergeCell ref="H9:H10"/>
    <mergeCell ref="I9:I10"/>
    <mergeCell ref="J9:J10"/>
    <mergeCell ref="K9:K10"/>
    <mergeCell ref="L9:L10"/>
    <mergeCell ref="A9:A10"/>
    <mergeCell ref="B9:B10"/>
    <mergeCell ref="C9:C10"/>
    <mergeCell ref="D9:D10"/>
    <mergeCell ref="E9:E10"/>
    <mergeCell ref="F9:F10"/>
    <mergeCell ref="R9:R10"/>
    <mergeCell ref="A17:A20"/>
    <mergeCell ref="B17:B20"/>
    <mergeCell ref="C17:C20"/>
    <mergeCell ref="D17:D20"/>
    <mergeCell ref="E17:E20"/>
    <mergeCell ref="F17:F20"/>
    <mergeCell ref="S9:S10"/>
    <mergeCell ref="T9:T10"/>
    <mergeCell ref="P15:P16"/>
    <mergeCell ref="Q15:Q16"/>
    <mergeCell ref="R15:R16"/>
    <mergeCell ref="T13:T14"/>
    <mergeCell ref="T15:T16"/>
    <mergeCell ref="S41:S44"/>
    <mergeCell ref="T41:T44"/>
    <mergeCell ref="U41:U44"/>
    <mergeCell ref="V42:V43"/>
    <mergeCell ref="W42:W43"/>
    <mergeCell ref="V44:W44"/>
    <mergeCell ref="M41:M44"/>
    <mergeCell ref="N41:N44"/>
    <mergeCell ref="O41:O44"/>
    <mergeCell ref="P41:P44"/>
    <mergeCell ref="Q41:Q44"/>
    <mergeCell ref="R41:R44"/>
    <mergeCell ref="G41:G44"/>
    <mergeCell ref="H41:H44"/>
    <mergeCell ref="I41:I44"/>
    <mergeCell ref="J41:J44"/>
    <mergeCell ref="K41:K44"/>
    <mergeCell ref="L41:L44"/>
    <mergeCell ref="A41:A44"/>
    <mergeCell ref="B41:B44"/>
    <mergeCell ref="C41:C44"/>
    <mergeCell ref="D41:D44"/>
    <mergeCell ref="E41:E44"/>
    <mergeCell ref="F41:F44"/>
    <mergeCell ref="S37:S40"/>
    <mergeCell ref="T37:T40"/>
    <mergeCell ref="U37:U40"/>
    <mergeCell ref="V38:V39"/>
    <mergeCell ref="W38:W39"/>
    <mergeCell ref="V40:W40"/>
    <mergeCell ref="M37:M40"/>
    <mergeCell ref="N37:N40"/>
    <mergeCell ref="O37:O40"/>
    <mergeCell ref="P37:P40"/>
    <mergeCell ref="Q37:Q40"/>
    <mergeCell ref="R37:R40"/>
    <mergeCell ref="G37:G40"/>
    <mergeCell ref="H37:H40"/>
    <mergeCell ref="I37:I40"/>
    <mergeCell ref="J37:J40"/>
    <mergeCell ref="K37:K40"/>
    <mergeCell ref="L37:L40"/>
    <mergeCell ref="A37:A40"/>
    <mergeCell ref="B37:B40"/>
    <mergeCell ref="C37:C40"/>
    <mergeCell ref="D37:D40"/>
    <mergeCell ref="E37:E40"/>
    <mergeCell ref="F37:F40"/>
    <mergeCell ref="L33:L36"/>
    <mergeCell ref="M33:M36"/>
    <mergeCell ref="N33:N36"/>
    <mergeCell ref="O33:O36"/>
    <mergeCell ref="W30:W31"/>
    <mergeCell ref="R29:R32"/>
    <mergeCell ref="S29:S32"/>
    <mergeCell ref="T29:T32"/>
    <mergeCell ref="S33:S36"/>
    <mergeCell ref="T33:T36"/>
    <mergeCell ref="U33:U36"/>
    <mergeCell ref="V34:V35"/>
    <mergeCell ref="W34:W35"/>
    <mergeCell ref="V36:W36"/>
    <mergeCell ref="P33:P36"/>
    <mergeCell ref="Q33:Q36"/>
    <mergeCell ref="R33:R36"/>
    <mergeCell ref="M26:M28"/>
    <mergeCell ref="N26:N28"/>
    <mergeCell ref="U29:U32"/>
    <mergeCell ref="V30:V31"/>
    <mergeCell ref="A33:A36"/>
    <mergeCell ref="B33:B36"/>
    <mergeCell ref="C33:C36"/>
    <mergeCell ref="D33:D36"/>
    <mergeCell ref="E33:E36"/>
    <mergeCell ref="F33:F36"/>
    <mergeCell ref="O29:O32"/>
    <mergeCell ref="P29:P32"/>
    <mergeCell ref="Q29:Q32"/>
    <mergeCell ref="I29:I32"/>
    <mergeCell ref="J29:J32"/>
    <mergeCell ref="K29:K32"/>
    <mergeCell ref="L29:L32"/>
    <mergeCell ref="M29:M32"/>
    <mergeCell ref="N29:N32"/>
    <mergeCell ref="G33:G36"/>
    <mergeCell ref="H33:H36"/>
    <mergeCell ref="I33:I36"/>
    <mergeCell ref="J33:J36"/>
    <mergeCell ref="K33:K36"/>
    <mergeCell ref="L15:L16"/>
    <mergeCell ref="M15:M16"/>
    <mergeCell ref="N15:N16"/>
    <mergeCell ref="O15:O16"/>
    <mergeCell ref="U26:U28"/>
    <mergeCell ref="V28:W28"/>
    <mergeCell ref="A29:A32"/>
    <mergeCell ref="B29:B32"/>
    <mergeCell ref="C29:C32"/>
    <mergeCell ref="D29:D32"/>
    <mergeCell ref="E29:E32"/>
    <mergeCell ref="F29:F32"/>
    <mergeCell ref="G29:G32"/>
    <mergeCell ref="H29:H32"/>
    <mergeCell ref="O26:O28"/>
    <mergeCell ref="P26:P28"/>
    <mergeCell ref="Q26:Q28"/>
    <mergeCell ref="R26:R28"/>
    <mergeCell ref="S26:S28"/>
    <mergeCell ref="T26:T28"/>
    <mergeCell ref="I26:I28"/>
    <mergeCell ref="J26:J28"/>
    <mergeCell ref="K26:K28"/>
    <mergeCell ref="L26:L28"/>
    <mergeCell ref="V9:W9"/>
    <mergeCell ref="M9:M10"/>
    <mergeCell ref="N9:N10"/>
    <mergeCell ref="O9:O10"/>
    <mergeCell ref="P9:P10"/>
    <mergeCell ref="Q9:Q10"/>
    <mergeCell ref="A26:A28"/>
    <mergeCell ref="B26:B28"/>
    <mergeCell ref="C26:C28"/>
    <mergeCell ref="D26:D28"/>
    <mergeCell ref="E26:E28"/>
    <mergeCell ref="F26:F28"/>
    <mergeCell ref="G26:G28"/>
    <mergeCell ref="H26:H28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A1:W1"/>
    <mergeCell ref="A7:A8"/>
    <mergeCell ref="B7:B8"/>
    <mergeCell ref="C7:C8"/>
    <mergeCell ref="D7:D8"/>
    <mergeCell ref="E7:E8"/>
    <mergeCell ref="F7:F8"/>
    <mergeCell ref="G7:L7"/>
    <mergeCell ref="M7:M8"/>
    <mergeCell ref="N7:N8"/>
    <mergeCell ref="U7:U8"/>
    <mergeCell ref="V7:W8"/>
    <mergeCell ref="P7:P8"/>
    <mergeCell ref="Q7:Q8"/>
    <mergeCell ref="R7:R8"/>
    <mergeCell ref="S7:S8"/>
    <mergeCell ref="T7:T8"/>
    <mergeCell ref="O7:O8"/>
    <mergeCell ref="V22:W22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  <mergeCell ref="M11:M12"/>
    <mergeCell ref="N11:N12"/>
    <mergeCell ref="O11:O12"/>
    <mergeCell ref="P11:P12"/>
    <mergeCell ref="Q11:Q12"/>
    <mergeCell ref="R11:R12"/>
    <mergeCell ref="S11:S12"/>
    <mergeCell ref="T11:T12"/>
    <mergeCell ref="S15:S16"/>
    <mergeCell ref="U11:U12"/>
    <mergeCell ref="K15:K16"/>
    <mergeCell ref="U15:U16"/>
    <mergeCell ref="V15:W15"/>
    <mergeCell ref="V11:W11"/>
    <mergeCell ref="A13:A14"/>
    <mergeCell ref="B13:B14"/>
    <mergeCell ref="C13:C14"/>
    <mergeCell ref="D13:D14"/>
    <mergeCell ref="E13:E14"/>
    <mergeCell ref="F13:F14"/>
    <mergeCell ref="G13:G14"/>
    <mergeCell ref="H13:H14"/>
    <mergeCell ref="I13:I14"/>
    <mergeCell ref="J13:J14"/>
    <mergeCell ref="K13:K14"/>
    <mergeCell ref="L13:L14"/>
    <mergeCell ref="M13:M14"/>
    <mergeCell ref="N13:N14"/>
    <mergeCell ref="O13:O14"/>
    <mergeCell ref="P13:P14"/>
    <mergeCell ref="Q13:Q14"/>
    <mergeCell ref="R13:R14"/>
    <mergeCell ref="S13:S14"/>
    <mergeCell ref="U13:U14"/>
    <mergeCell ref="V13:W13"/>
  </mergeCells>
  <conditionalFormatting sqref="C9">
    <cfRule type="cellIs" dxfId="11" priority="9" stopIfTrue="1" operator="equal">
      <formula>0</formula>
    </cfRule>
  </conditionalFormatting>
  <conditionalFormatting sqref="C11">
    <cfRule type="cellIs" dxfId="10" priority="3" stopIfTrue="1" operator="equal">
      <formula>0</formula>
    </cfRule>
  </conditionalFormatting>
  <conditionalFormatting sqref="C13">
    <cfRule type="cellIs" dxfId="9" priority="2" stopIfTrue="1" operator="equal">
      <formula>0</formula>
    </cfRule>
  </conditionalFormatting>
  <conditionalFormatting sqref="C15">
    <cfRule type="cellIs" dxfId="8" priority="1" stopIfTrue="1" operator="equal">
      <formula>0</formula>
    </cfRule>
  </conditionalFormatting>
  <conditionalFormatting sqref="C17">
    <cfRule type="cellIs" dxfId="7" priority="6" stopIfTrue="1" operator="equal">
      <formula>0</formula>
    </cfRule>
  </conditionalFormatting>
  <conditionalFormatting sqref="C26">
    <cfRule type="cellIs" dxfId="6" priority="13" stopIfTrue="1" operator="equal">
      <formula>0</formula>
    </cfRule>
  </conditionalFormatting>
  <conditionalFormatting sqref="C29">
    <cfRule type="cellIs" dxfId="5" priority="12" stopIfTrue="1" operator="equal">
      <formula>0</formula>
    </cfRule>
  </conditionalFormatting>
  <conditionalFormatting sqref="C33">
    <cfRule type="cellIs" dxfId="4" priority="5" stopIfTrue="1" operator="equal">
      <formula>0</formula>
    </cfRule>
  </conditionalFormatting>
  <conditionalFormatting sqref="C37">
    <cfRule type="cellIs" dxfId="3" priority="7" stopIfTrue="1" operator="equal">
      <formula>0</formula>
    </cfRule>
  </conditionalFormatting>
  <conditionalFormatting sqref="C41">
    <cfRule type="cellIs" dxfId="2" priority="10" stopIfTrue="1" operator="equal">
      <formula>0</formula>
    </cfRule>
  </conditionalFormatting>
  <conditionalFormatting sqref="C50">
    <cfRule type="cellIs" dxfId="1" priority="8" stopIfTrue="1" operator="equal">
      <formula>0</formula>
    </cfRule>
  </conditionalFormatting>
  <conditionalFormatting sqref="C59">
    <cfRule type="cellIs" dxfId="0" priority="4" stopIfTrue="1" operator="equal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2" fitToHeight="0" orientation="landscape" r:id="rId1"/>
  <headerFooter>
    <oddHeader xml:space="preserve">&amp;R
</oddHeader>
    <oddFooter>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"/>
  <sheetViews>
    <sheetView workbookViewId="0">
      <selection activeCell="G29" sqref="G29"/>
    </sheetView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C62A9BF-8E9E-4BFA-9F21-373AA5F607DE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Abutment Seat</vt:lpstr>
      <vt:lpstr>Sheet1</vt:lpstr>
      <vt:lpstr>'Abutment Seat'!Print_Area</vt:lpstr>
      <vt:lpstr>'Abutment Seat'!Print_Titles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IKRAM</dc:creator>
  <cp:lastModifiedBy>UD-Admin</cp:lastModifiedBy>
  <cp:lastPrinted>2024-07-04T06:47:19Z</cp:lastPrinted>
  <dcterms:created xsi:type="dcterms:W3CDTF">2023-08-07T07:53:34Z</dcterms:created>
  <dcterms:modified xsi:type="dcterms:W3CDTF">2025-11-04T06:01:12Z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{CC62A9BF-8E9E-4BFA-9F21-373AA5F607DE}</vt:lpwstr>
  </property>
</Properties>
</file>